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Calculation Utilities\v3.10.1 new household figures - new wording\External (locked)\"/>
    </mc:Choice>
  </mc:AlternateContent>
  <xr:revisionPtr revIDLastSave="0" documentId="13_ncr:1_{2324FD3C-49AE-4832-8FC6-42EB448D6F7D}" xr6:coauthVersionLast="47" xr6:coauthVersionMax="47" xr10:uidLastSave="{00000000-0000-0000-0000-000000000000}"/>
  <workbookProtection workbookAlgorithmName="SHA-512" workbookHashValue="7Pd7oLVzVxajbHa+zrUzLku1ij8xkH18YIXC80Ps2lTI98fI5PtMPOjHoidatib/0L8mxzdr/PZDa/LBuOReDg==" workbookSaltValue="05OhH3NdnvyW0GFPcTGe2Q==" workbookSpinCount="100000" lockStructure="1"/>
  <bookViews>
    <workbookView xWindow="19090" yWindow="-17420" windowWidth="38620" windowHeight="21100" xr2:uid="{00000000-000D-0000-FFFF-FFFF00000000}"/>
  </bookViews>
  <sheets>
    <sheet name="Main" sheetId="1" r:id="rId1"/>
    <sheet name="Expenses" sheetId="3" state="hidden" r:id="rId2"/>
    <sheet name="Parameters" sheetId="2" state="hidden" r:id="rId3"/>
    <sheet name="Dropdowns" sheetId="4" state="hidden" r:id="rId4"/>
  </sheets>
  <externalReferences>
    <externalReference r:id="rId5"/>
  </externalReferences>
  <definedNames>
    <definedName name="_Age1">Main!$F$19</definedName>
    <definedName name="_Age10">Main!$F$19</definedName>
    <definedName name="_Age2">Main!$E$19</definedName>
    <definedName name="_App1">Main!$D$10</definedName>
    <definedName name="_App2">Main!$D$12</definedName>
    <definedName name="_App3">Main!$D$14</definedName>
    <definedName name="_App4">Main!$D$16</definedName>
    <definedName name="Age">Main!#REF!</definedName>
    <definedName name="Age10to18">Main!$E$19</definedName>
    <definedName name="AgeUnder10">Main!$F$19</definedName>
    <definedName name="App1Income">Main!$E$10</definedName>
    <definedName name="App2Income">Main!$E$12</definedName>
    <definedName name="App3Income">Main!$E$14</definedName>
    <definedName name="App4Income">Main!$E$16</definedName>
    <definedName name="Basic_Essential_Expenditure">Parameters!$F$4</definedName>
    <definedName name="BEE_QoLCosts">Parameters!$C$17</definedName>
    <definedName name="BQoLCosts">Parameters!$C$4</definedName>
    <definedName name="CAge1">Parameters!$C$14</definedName>
    <definedName name="CAge10">Parameters!$C$14</definedName>
    <definedName name="CAge2">Parameters!$C$16</definedName>
    <definedName name="CombinedIncome">Main!$J$10</definedName>
    <definedName name="Commitments">Main!$E$54</definedName>
    <definedName name="CreditCardBalances">Main!$E$43</definedName>
    <definedName name="CSVR">Parameters!$C$8</definedName>
    <definedName name="DisposableIncomePercentage">Parameters!$B$73</definedName>
    <definedName name="Each_Child_10_18">Parameters!$F$3</definedName>
    <definedName name="Each_Child_under_10">Parameters!$F$2</definedName>
    <definedName name="FinalAmount">Parameters!$B$63</definedName>
    <definedName name="HC">Parameters!$C$3</definedName>
    <definedName name="Income">Main!$E$39</definedName>
    <definedName name="IncomeForUnderwriting">[1]Calculator!$J$33</definedName>
    <definedName name="InterestRate">Main!$E$26</definedName>
    <definedName name="IR">Parameters!$C$8</definedName>
    <definedName name="JointHouseholdInsideM25">Expenses!$G$43</definedName>
    <definedName name="JointHouseholdInsideWM">Expenses!$G$17</definedName>
    <definedName name="JointHouseholdOutsideM25">Expenses!$G$30</definedName>
    <definedName name="LA">Parameters!$C$9</definedName>
    <definedName name="LoanAmount">Main!$B$26</definedName>
    <definedName name="M25YorN">Main!$E$23</definedName>
    <definedName name="MaxLoanMult">Parameters!$B$50</definedName>
    <definedName name="MaxLoanStress">Parameters!$B$52</definedName>
    <definedName name="Month">Parameters!$C$11</definedName>
    <definedName name="Months">Main!$C$26</definedName>
    <definedName name="NMR">Parameters!$F$68</definedName>
    <definedName name="NMRStressed">Parameters!$F$69</definedName>
    <definedName name="_xlnm.Print_Area" localSheetId="1">Expenses!$A$1:$J$60</definedName>
    <definedName name="_xlnm.Print_Area" localSheetId="0">Main!$A$1:$L$70</definedName>
    <definedName name="QoLJointM25">Expenses!$G$50</definedName>
    <definedName name="QoLJointOutsideM25">Expenses!$G$49</definedName>
    <definedName name="QoLJointWM">Expenses!$G$48</definedName>
    <definedName name="QolSingleM25">Expenses!$E$50</definedName>
    <definedName name="QoLSingleOutsideM25">Expenses!$E$49</definedName>
    <definedName name="QoLSingleWM">Expenses!$E$48</definedName>
    <definedName name="RealFinalAmount">Parameters!$B$65</definedName>
    <definedName name="RepaymentType">Main!$I$26</definedName>
    <definedName name="RT">Parameters!$C$5</definedName>
    <definedName name="SingleHouseholdInsideM25">Expenses!$E$43</definedName>
    <definedName name="SingleHouseholdInsideWM">Expenses!$E$17</definedName>
    <definedName name="SingleHouseholdOutsideM25">Expenses!$E$30</definedName>
    <definedName name="SIR">Parameters!$C$6</definedName>
    <definedName name="Stressed_Rate">Parameters!$C$8</definedName>
    <definedName name="SVR">Main!$H$26</definedName>
    <definedName name="T">Parameters!$C$12</definedName>
    <definedName name="TA">Parameters!$C$2</definedName>
    <definedName name="Term">Main!#REF!</definedName>
    <definedName name="TFD">Parameters!$C$35</definedName>
    <definedName name="TotalCommitments">Main!$E$52</definedName>
    <definedName name="TotalCommitments2">[1]Calculator!$J$36</definedName>
    <definedName name="TotalDisposableIncome">Parameters!$C$47</definedName>
    <definedName name="TotalMonthlyIncome">Parameters!$C$39</definedName>
    <definedName name="Under10">Main!#REF!</definedName>
    <definedName name="Year">Parameters!$C$10</definedName>
    <definedName name="Years">Main!$F$26</definedName>
    <definedName name="ZeroPercentageMaxLoan">Parameters!$E$65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C13" i="2"/>
  <c r="F13" i="2"/>
  <c r="C15" i="2"/>
  <c r="C16" i="2" s="1"/>
  <c r="F15" i="2"/>
  <c r="E5" i="2" l="1"/>
  <c r="H12" i="1" l="1"/>
  <c r="C5" i="2" l="1"/>
  <c r="C2" i="2"/>
  <c r="C4" i="2" s="1"/>
  <c r="G26" i="1" l="1"/>
  <c r="K51" i="1" s="1"/>
  <c r="E44" i="1"/>
  <c r="F45" i="2" l="1"/>
  <c r="H10" i="1"/>
  <c r="F5" i="2"/>
  <c r="F7" i="2" s="1"/>
  <c r="F3" i="2"/>
  <c r="F35" i="2"/>
  <c r="F34" i="2"/>
  <c r="F33" i="2"/>
  <c r="B26" i="2"/>
  <c r="C44" i="2"/>
  <c r="C11" i="2"/>
  <c r="C10" i="2"/>
  <c r="C9" i="2"/>
  <c r="C6" i="2"/>
  <c r="E3" i="2"/>
  <c r="G43" i="3"/>
  <c r="G28" i="2" s="1"/>
  <c r="H28" i="2" s="1"/>
  <c r="E43" i="3"/>
  <c r="F28" i="2" s="1"/>
  <c r="G30" i="3"/>
  <c r="G26" i="2" s="1"/>
  <c r="I26" i="2" s="1"/>
  <c r="E30" i="3"/>
  <c r="F26" i="2" s="1"/>
  <c r="G17" i="3"/>
  <c r="G24" i="2" s="1"/>
  <c r="H24" i="2" s="1"/>
  <c r="E17" i="3"/>
  <c r="F24" i="2" s="1"/>
  <c r="E54" i="1"/>
  <c r="C41" i="2" s="1"/>
  <c r="E39" i="1"/>
  <c r="H16" i="1"/>
  <c r="H14" i="1"/>
  <c r="F46" i="2" l="1"/>
  <c r="I46" i="2"/>
  <c r="F32" i="2"/>
  <c r="I32" i="2" s="1"/>
  <c r="C39" i="2"/>
  <c r="C22" i="2"/>
  <c r="C35" i="2"/>
  <c r="E53" i="3" s="1"/>
  <c r="I28" i="2"/>
  <c r="C8" i="2"/>
  <c r="F10" i="2" s="1"/>
  <c r="J10" i="1"/>
  <c r="B50" i="2" s="1"/>
  <c r="C12" i="2"/>
  <c r="I24" i="2"/>
  <c r="H26" i="2"/>
  <c r="C43" i="2"/>
  <c r="B56" i="2" l="1"/>
  <c r="I33" i="2"/>
  <c r="I34" i="2"/>
  <c r="I35" i="2"/>
  <c r="E56" i="2"/>
  <c r="J14" i="1"/>
  <c r="F11" i="2"/>
  <c r="C29" i="2"/>
  <c r="C28" i="2"/>
  <c r="C21" i="2"/>
  <c r="I31" i="2" l="1"/>
  <c r="C17" i="2" s="1"/>
  <c r="C45" i="2" s="1"/>
  <c r="C31" i="2"/>
  <c r="C24" i="2"/>
  <c r="F68" i="2" s="1"/>
  <c r="F69" i="2" l="1"/>
  <c r="C42" i="2" s="1"/>
  <c r="C47" i="2" s="1"/>
  <c r="F70" i="2" l="1"/>
  <c r="B73" i="2"/>
  <c r="H15" i="2"/>
  <c r="H16" i="2"/>
  <c r="F16" i="2"/>
  <c r="G12" i="2"/>
  <c r="G13" i="2" s="1"/>
  <c r="I15" i="2" s="1"/>
  <c r="G15" i="2" l="1"/>
  <c r="I16" i="2"/>
  <c r="G19" i="2" s="1"/>
  <c r="G16" i="2"/>
  <c r="F19" i="2" s="1"/>
  <c r="B52" i="2" l="1"/>
  <c r="B61" i="2" s="1"/>
  <c r="B63" i="2" s="1"/>
  <c r="B65" i="2" s="1"/>
  <c r="G33" i="1" s="1"/>
  <c r="B58" i="2"/>
  <c r="E61" i="2" s="1"/>
  <c r="E63" i="2" s="1"/>
  <c r="E65" i="2" s="1"/>
  <c r="G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Nathan Palfreyman</author>
  </authors>
  <commentList>
    <comment ref="C3" authorId="0" shapeId="0" xr:uid="{528A8217-E8EE-4F3B-9730-D69A77E75ABC}">
      <text>
        <r>
          <rPr>
            <b/>
            <sz val="9"/>
            <color indexed="81"/>
            <rFont val="Tahoma"/>
            <family val="2"/>
          </rPr>
          <t>Nathan Palfreyman:</t>
        </r>
        <r>
          <rPr>
            <sz val="9"/>
            <color indexed="81"/>
            <rFont val="Tahoma"/>
            <family val="2"/>
          </rPr>
          <t xml:space="preserve">
taken from expenses page - need figures for 3 and 4 applicants </t>
        </r>
      </text>
    </comment>
    <comment ref="C4" authorId="0" shapeId="0" xr:uid="{12ADFB4B-9F0A-4B5C-8D07-F181DA5EFE2F}">
      <text>
        <r>
          <rPr>
            <b/>
            <sz val="9"/>
            <color indexed="81"/>
            <rFont val="Tahoma"/>
            <family val="2"/>
          </rPr>
          <t>Nathan Palfreyman:</t>
        </r>
        <r>
          <rPr>
            <sz val="9"/>
            <color indexed="81"/>
            <rFont val="Tahoma"/>
            <family val="2"/>
          </rPr>
          <t xml:space="preserve">
taken from expenses page - need figures for 3 and 4 applicants 
</t>
        </r>
      </text>
    </comment>
    <comment ref="C11" authorId="0" shapeId="0" xr:uid="{15391044-8EC4-4A9E-8952-9E0B1525D8F8}">
      <text>
        <r>
          <rPr>
            <b/>
            <sz val="9"/>
            <color indexed="81"/>
            <rFont val="Tahoma"/>
            <family val="2"/>
          </rPr>
          <t>Nathan Palfreyman:</t>
        </r>
        <r>
          <rPr>
            <sz val="9"/>
            <color indexed="81"/>
            <rFont val="Tahoma"/>
            <family val="2"/>
          </rPr>
          <t xml:space="preserve">
no longer included
</t>
        </r>
      </text>
    </comment>
    <comment ref="C17" authorId="0" shapeId="0" xr:uid="{7F80653F-E7E2-4CB9-ACF3-6222A4CA9836}">
      <text>
        <r>
          <rPr>
            <b/>
            <sz val="9"/>
            <color indexed="81"/>
            <rFont val="Tahoma"/>
            <family val="2"/>
          </rPr>
          <t>Nathan Palfreyman:</t>
        </r>
        <r>
          <rPr>
            <sz val="9"/>
            <color indexed="81"/>
            <rFont val="Tahoma"/>
            <family val="2"/>
          </rPr>
          <t xml:space="preserve">
used to be =HC+BQoLCosts
fix when expenses page is fixed?</t>
        </r>
      </text>
    </comment>
  </commentList>
</comments>
</file>

<file path=xl/sharedStrings.xml><?xml version="1.0" encoding="utf-8"?>
<sst xmlns="http://schemas.openxmlformats.org/spreadsheetml/2006/main" count="250" uniqueCount="193">
  <si>
    <t>Term</t>
  </si>
  <si>
    <t>Interest Rate:</t>
  </si>
  <si>
    <t>Loan Amount:</t>
  </si>
  <si>
    <t>Capital Repayment:</t>
  </si>
  <si>
    <t>Repayment Type:</t>
  </si>
  <si>
    <t>Selected Payment:</t>
  </si>
  <si>
    <t>Standard Interest Rate</t>
  </si>
  <si>
    <t>Years:</t>
  </si>
  <si>
    <t>Months:</t>
  </si>
  <si>
    <t>Number of Dependents:</t>
  </si>
  <si>
    <t>SVR</t>
  </si>
  <si>
    <t>Child Tax Credits</t>
  </si>
  <si>
    <t>Child Maintenance</t>
  </si>
  <si>
    <t>New Mortgage Repayment</t>
  </si>
  <si>
    <t>Total Commitments</t>
  </si>
  <si>
    <t>Age Under 10</t>
  </si>
  <si>
    <t xml:space="preserve">      Income</t>
  </si>
  <si>
    <t>Age 10-18</t>
  </si>
  <si>
    <t>Household Costs:</t>
  </si>
  <si>
    <t>Total Applicants:</t>
  </si>
  <si>
    <t xml:space="preserve">Monthly Expenditure </t>
  </si>
  <si>
    <t>Total Expenditure</t>
  </si>
  <si>
    <t xml:space="preserve">Additional Expenditure </t>
  </si>
  <si>
    <t>Additional costs allocated to reflect number of dependents within household</t>
  </si>
  <si>
    <t>Additional Expenditures</t>
  </si>
  <si>
    <t>Total for Dependents:</t>
  </si>
  <si>
    <t>Disposable Income as a percentage of total net Income*</t>
  </si>
  <si>
    <t>SVR Additional %</t>
  </si>
  <si>
    <t>Housing fuel &amp; power</t>
  </si>
  <si>
    <t>Household goods &amp; services</t>
  </si>
  <si>
    <t>Transport</t>
  </si>
  <si>
    <t>Communication</t>
  </si>
  <si>
    <t>Total Monthly Income (A)</t>
  </si>
  <si>
    <t>NOTES:</t>
  </si>
  <si>
    <t>Less:</t>
  </si>
  <si>
    <r>
      <t>Commited Expenditure</t>
    </r>
    <r>
      <rPr>
        <b/>
        <sz val="10"/>
        <rFont val="Arial"/>
        <family val="2"/>
      </rPr>
      <t xml:space="preserve"> (B) </t>
    </r>
  </si>
  <si>
    <t>Total Monthly Income (X)</t>
  </si>
  <si>
    <t>Total Disposable Income (Y)</t>
  </si>
  <si>
    <r>
      <t xml:space="preserve">C. Basic essential expenditure </t>
    </r>
    <r>
      <rPr>
        <b/>
        <vertAlign val="superscript"/>
        <sz val="11"/>
        <rFont val="Arial"/>
        <family val="2"/>
      </rPr>
      <t>5</t>
    </r>
  </si>
  <si>
    <r>
      <t xml:space="preserve">D. Basic quality of living costs </t>
    </r>
    <r>
      <rPr>
        <b/>
        <vertAlign val="superscript"/>
        <sz val="11"/>
        <rFont val="Arial"/>
        <family val="2"/>
      </rPr>
      <t>6</t>
    </r>
  </si>
  <si>
    <t>from your income at source.</t>
  </si>
  <si>
    <t xml:space="preserve">The Society has used the following figures as an assumption of your proposed household expenditure following completion. If for any reason you consider that these figures are not representative of your household you must advise the Society immediately. </t>
  </si>
  <si>
    <t>Total Credit Card balances</t>
  </si>
  <si>
    <t>BEE&amp;QoLCosts:</t>
  </si>
  <si>
    <t>Stressed Payment</t>
  </si>
  <si>
    <t>Total Credit Card(s) Monthly Payment</t>
  </si>
  <si>
    <t>Interest Only:</t>
  </si>
  <si>
    <t xml:space="preserve"> </t>
  </si>
  <si>
    <t>Date:   _________________</t>
  </si>
  <si>
    <r>
      <t>Net Monthly Income (App 1)</t>
    </r>
    <r>
      <rPr>
        <vertAlign val="superscript"/>
        <sz val="10"/>
        <rFont val="Arial"/>
        <family val="2"/>
      </rPr>
      <t>1</t>
    </r>
  </si>
  <si>
    <r>
      <t>Net Monthly Income (App 2)</t>
    </r>
    <r>
      <rPr>
        <vertAlign val="superscript"/>
        <sz val="10"/>
        <rFont val="Arial"/>
        <family val="2"/>
      </rPr>
      <t>1</t>
    </r>
  </si>
  <si>
    <r>
      <t xml:space="preserve">Clothing &amp; footwear </t>
    </r>
    <r>
      <rPr>
        <i/>
        <sz val="9"/>
        <rFont val="Arial"/>
        <family val="2"/>
      </rPr>
      <t>(excluding children)</t>
    </r>
  </si>
  <si>
    <t>Assumed Expenditure</t>
  </si>
  <si>
    <t>Product</t>
  </si>
  <si>
    <t xml:space="preserve">Highest Figure </t>
  </si>
  <si>
    <t>Highest Figure</t>
  </si>
  <si>
    <t>Prod Rate Additonal%</t>
  </si>
  <si>
    <t>QoL Costs:</t>
  </si>
  <si>
    <t>Number of Applicants (Location)</t>
  </si>
  <si>
    <t>Please note, our Affordability Calculator is only for guidance purposes and the amount quoted is subject to usual underwriting requirements and credit checks</t>
  </si>
  <si>
    <t>Childcare</t>
  </si>
  <si>
    <t>Credit Card</t>
  </si>
  <si>
    <t>Ground rent</t>
  </si>
  <si>
    <t>Healthcare</t>
  </si>
  <si>
    <t>Housing Association rent</t>
  </si>
  <si>
    <t>HP</t>
  </si>
  <si>
    <t>Insurance</t>
  </si>
  <si>
    <t>Loan</t>
  </si>
  <si>
    <t>Mail Order</t>
  </si>
  <si>
    <t>Maintenance</t>
  </si>
  <si>
    <t>Mortgage</t>
  </si>
  <si>
    <t>Rent</t>
  </si>
  <si>
    <t>School Fees</t>
  </si>
  <si>
    <t>Service charge</t>
  </si>
  <si>
    <t>-</t>
  </si>
  <si>
    <t>Rest of UK</t>
  </si>
  <si>
    <t>Other Occupant(s)</t>
  </si>
  <si>
    <t>Total annual income</t>
  </si>
  <si>
    <t>Address of subject property (if known):</t>
  </si>
  <si>
    <t>Purchase Price</t>
  </si>
  <si>
    <t>Term (5 - 40 yrs)</t>
  </si>
  <si>
    <r>
      <t>Net Monthly Income (App 3)</t>
    </r>
    <r>
      <rPr>
        <vertAlign val="superscript"/>
        <sz val="10"/>
        <rFont val="Arial"/>
        <family val="2"/>
      </rPr>
      <t>1</t>
    </r>
  </si>
  <si>
    <r>
      <t>Net Monthly Income (App 4)</t>
    </r>
    <r>
      <rPr>
        <vertAlign val="superscript"/>
        <sz val="10"/>
        <rFont val="Arial"/>
        <family val="2"/>
      </rPr>
      <t>1</t>
    </r>
  </si>
  <si>
    <t>Student Loan (not deducted at source)</t>
  </si>
  <si>
    <r>
      <rPr>
        <b/>
        <sz val="8"/>
        <rFont val="Arial"/>
        <family val="2"/>
      </rPr>
      <t xml:space="preserve">3 </t>
    </r>
    <r>
      <rPr>
        <sz val="8"/>
        <rFont val="Arial"/>
        <family val="2"/>
      </rPr>
      <t>Housing Association Rent are only applicable if purchasing a property on a Shared Ownership basis.</t>
    </r>
  </si>
  <si>
    <r>
      <rPr>
        <b/>
        <sz val="8"/>
        <rFont val="Arial"/>
        <family val="2"/>
      </rPr>
      <t>4</t>
    </r>
    <r>
      <rPr>
        <sz val="8"/>
        <rFont val="Arial"/>
        <family val="2"/>
      </rPr>
      <t xml:space="preserve"> Additional Childcare Costs are the fees associated with arranging childcare in addition to those which have already been deducted</t>
    </r>
  </si>
  <si>
    <r>
      <rPr>
        <b/>
        <sz val="8"/>
        <rFont val="Arial"/>
        <family val="2"/>
      </rPr>
      <t>6</t>
    </r>
    <r>
      <rPr>
        <sz val="8"/>
        <rFont val="Arial"/>
        <family val="2"/>
      </rPr>
      <t xml:space="preserve"> Basic quality of living costs are those which can be reduced but only with difficulty these have been included using ONS data and therefore you </t>
    </r>
    <r>
      <rPr>
        <b/>
        <sz val="8"/>
        <rFont val="Arial"/>
        <family val="2"/>
      </rPr>
      <t>do not</t>
    </r>
    <r>
      <rPr>
        <sz val="8"/>
        <rFont val="Arial"/>
        <family val="2"/>
      </rPr>
      <t xml:space="preserve"> need to include </t>
    </r>
  </si>
  <si>
    <t>individuals own costs.</t>
  </si>
  <si>
    <r>
      <rPr>
        <b/>
        <sz val="8"/>
        <rFont val="Arial"/>
        <family val="2"/>
      </rPr>
      <t xml:space="preserve">5 </t>
    </r>
    <r>
      <rPr>
        <sz val="8"/>
        <rFont val="Arial"/>
        <family val="2"/>
      </rPr>
      <t xml:space="preserve">Basic essential expenditure comprises housekeeping and other items have been included using ONS data and therefore you </t>
    </r>
    <r>
      <rPr>
        <b/>
        <sz val="8"/>
        <rFont val="Arial"/>
        <family val="2"/>
      </rPr>
      <t>do not</t>
    </r>
    <r>
      <rPr>
        <sz val="8"/>
        <rFont val="Arial"/>
        <family val="2"/>
      </rPr>
      <t xml:space="preserve"> need to include individuals own costs.</t>
    </r>
  </si>
  <si>
    <t>Other (please specify)</t>
  </si>
  <si>
    <r>
      <rPr>
        <b/>
        <sz val="8"/>
        <rFont val="Arial"/>
        <family val="2"/>
      </rPr>
      <t>1.</t>
    </r>
    <r>
      <rPr>
        <sz val="8"/>
        <rFont val="Arial"/>
        <family val="2"/>
      </rPr>
      <t xml:space="preserve"> Net Monthly Income is your average monthly income less all deductions paid at source, ie Pension, Student Loan etc.</t>
    </r>
  </si>
  <si>
    <r>
      <rPr>
        <b/>
        <sz val="8"/>
        <rFont val="Arial"/>
        <family val="2"/>
      </rPr>
      <t>2.</t>
    </r>
    <r>
      <rPr>
        <sz val="8"/>
        <rFont val="Arial"/>
        <family val="2"/>
      </rPr>
      <t xml:space="preserve"> Committed Expenditure represents commitments which will remain on completion of this new mortgage.</t>
    </r>
    <r>
      <rPr>
        <sz val="8"/>
        <rFont val="Arial"/>
        <family val="2"/>
      </rPr>
      <t xml:space="preserve"> Please input monthly commitment.</t>
    </r>
  </si>
  <si>
    <t>Applicant (1):</t>
  </si>
  <si>
    <t>Applicant (2):</t>
  </si>
  <si>
    <t>Applicant (3):</t>
  </si>
  <si>
    <t>Applicant (4):</t>
  </si>
  <si>
    <t>Purchase Property location:</t>
  </si>
  <si>
    <t>West Midlands</t>
  </si>
  <si>
    <t>Surname</t>
  </si>
  <si>
    <t>Combined annual income</t>
  </si>
  <si>
    <t>Assumed expenditure inside the West Midlands</t>
  </si>
  <si>
    <t>Assumed expenditure outside the M25 Area</t>
  </si>
  <si>
    <t>Assumed expenditure inside the M25 Area</t>
  </si>
  <si>
    <t>Single Applicant</t>
  </si>
  <si>
    <t>Joint Applicants</t>
  </si>
  <si>
    <t xml:space="preserve">Assumed Basic Essential Expenditure 
&amp; Quality of Living Costs </t>
  </si>
  <si>
    <t>Assumed household expenditure</t>
  </si>
  <si>
    <t>Inside West Midlands</t>
  </si>
  <si>
    <t>Outside M25</t>
  </si>
  <si>
    <t>Inside M25</t>
  </si>
  <si>
    <t>Additional Cost</t>
  </si>
  <si>
    <t>Applicant Total</t>
  </si>
  <si>
    <t>Selected region</t>
  </si>
  <si>
    <t>UK</t>
  </si>
  <si>
    <t>Selected</t>
  </si>
  <si>
    <t>1 App</t>
  </si>
  <si>
    <t>2 App</t>
  </si>
  <si>
    <t>3 App</t>
  </si>
  <si>
    <t>4 App</t>
  </si>
  <si>
    <t>Child Benefit (only children aged 12 and under)</t>
  </si>
  <si>
    <t>Food &amp; non alcohlic drinks</t>
  </si>
  <si>
    <t>Alcoholic drink, tobacco &amp; narcotics</t>
  </si>
  <si>
    <t>Health</t>
  </si>
  <si>
    <t>Other expenditure items</t>
  </si>
  <si>
    <t>Taken from front page</t>
  </si>
  <si>
    <t>*Disposable Income must be above 0% to be affordable.</t>
  </si>
  <si>
    <t>Our minimum mortgage amount is £50,000.</t>
  </si>
  <si>
    <t>LTV</t>
  </si>
  <si>
    <t>Monthly Rate</t>
  </si>
  <si>
    <t>Monthly Term</t>
  </si>
  <si>
    <t>Monthly Payment</t>
  </si>
  <si>
    <t xml:space="preserve">Max Amount not rounded </t>
  </si>
  <si>
    <t>MaximumAmountToBorrow</t>
  </si>
  <si>
    <t>Max Loan (based on stressed income)</t>
  </si>
  <si>
    <t>Max Loan (cannot exceed mult value)</t>
  </si>
  <si>
    <t>**29-1-22** Should always select SVR + 1.25% instead of comparing the figures -- used to be =IF(F6&gt;F4, F6, F4)</t>
  </si>
  <si>
    <t>Compared max limits</t>
  </si>
  <si>
    <t>Minimum Loan</t>
  </si>
  <si>
    <t xml:space="preserve">Max loan check against minimum </t>
  </si>
  <si>
    <t xml:space="preserve">Difference to get to 0% affordability </t>
  </si>
  <si>
    <t>max amount at 0%</t>
  </si>
  <si>
    <t>rounded amount</t>
  </si>
  <si>
    <t>Max based on LTV</t>
  </si>
  <si>
    <t>Max loan checked against LTV max</t>
  </si>
  <si>
    <t>Max LTV</t>
  </si>
  <si>
    <t>Up to the following maximum loan(s)</t>
  </si>
  <si>
    <t xml:space="preserve">Individual Case Assessment </t>
  </si>
  <si>
    <r>
      <t>B. Committed Expenditure</t>
    </r>
    <r>
      <rPr>
        <vertAlign val="superscript"/>
        <sz val="11"/>
        <rFont val="Arial"/>
        <family val="2"/>
      </rPr>
      <t xml:space="preserve">2  </t>
    </r>
    <r>
      <rPr>
        <sz val="9"/>
        <rFont val="Arial"/>
        <family val="2"/>
      </rPr>
      <t>(Select loan type from dropdown)</t>
    </r>
    <r>
      <rPr>
        <b/>
        <u/>
        <sz val="11"/>
        <rFont val="Arial"/>
        <family val="2"/>
      </rPr>
      <t xml:space="preserve">
</t>
    </r>
    <r>
      <rPr>
        <b/>
        <sz val="11"/>
        <rFont val="Arial"/>
        <family val="2"/>
      </rPr>
      <t>*</t>
    </r>
    <r>
      <rPr>
        <sz val="9"/>
        <rFont val="Arial"/>
        <family val="2"/>
      </rPr>
      <t>please pay special attention to the notes section below</t>
    </r>
  </si>
  <si>
    <t xml:space="preserve">Max Loan based on LTV and income multiples </t>
  </si>
  <si>
    <t>Repayment Type</t>
  </si>
  <si>
    <t>Checked at Offer by:  ___________________________________________________</t>
  </si>
  <si>
    <t>Calculated and Agreed by:   ______________________________________________</t>
  </si>
  <si>
    <t>West Midlands (B, CV, DY, ST, WS &amp; WV)</t>
  </si>
  <si>
    <t>Based on standard income multiples the loan cannot exceed:</t>
  </si>
  <si>
    <t>(This is the maximum loan we can consider lending subject to affordability and LTV limits being met - see below)</t>
  </si>
  <si>
    <t>Your client/s can borrow:</t>
  </si>
  <si>
    <t>Loan they can borrow to 0% affordability</t>
  </si>
  <si>
    <t>Total Disposable Income</t>
  </si>
  <si>
    <t>Lending Amounts</t>
  </si>
  <si>
    <t>Stressed Rate Repayment</t>
  </si>
  <si>
    <t>Repayment</t>
  </si>
  <si>
    <t>Interest Only</t>
  </si>
  <si>
    <t>Term does not matter to interest only offers - use this as term instead</t>
  </si>
  <si>
    <t>Interest Only - Ignores term</t>
  </si>
  <si>
    <t>Based on current</t>
  </si>
  <si>
    <t>Max Amount</t>
  </si>
  <si>
    <t>Difference to 0</t>
  </si>
  <si>
    <t>Monthly payments used for calc</t>
  </si>
  <si>
    <t>Auto changes based on Repayment or Interest Only</t>
  </si>
  <si>
    <r>
      <t>A.Monthly Income</t>
    </r>
    <r>
      <rPr>
        <vertAlign val="superscript"/>
        <sz val="11"/>
        <rFont val="Arial"/>
        <family val="2"/>
      </rPr>
      <t>1</t>
    </r>
    <r>
      <rPr>
        <b/>
        <vertAlign val="superscript"/>
        <sz val="9"/>
        <rFont val="Arial"/>
        <family val="2"/>
      </rPr>
      <t xml:space="preserve"> </t>
    </r>
    <r>
      <rPr>
        <b/>
        <sz val="9"/>
        <rFont val="Arial"/>
        <family val="2"/>
      </rPr>
      <t xml:space="preserve"> </t>
    </r>
    <r>
      <rPr>
        <sz val="9"/>
        <rFont val="Arial"/>
        <family val="2"/>
      </rPr>
      <t xml:space="preserve">(Evidence will be required to verify all income) *please pay special attention to the notes section below
</t>
    </r>
  </si>
  <si>
    <t xml:space="preserve">Interest Only </t>
  </si>
  <si>
    <t>Max LTV IO</t>
  </si>
  <si>
    <t xml:space="preserve">Repayment </t>
  </si>
  <si>
    <t>0% affordability Max Loan (cannot exceed mult value)</t>
  </si>
  <si>
    <t xml:space="preserve">0% affordability Max loan check against minimum </t>
  </si>
  <si>
    <t>0% affordability Max loan checked against LTV max</t>
  </si>
  <si>
    <t xml:space="preserve">Please include all gross annual income in the relevant field in the table below. 
Benefit income needs to be annualised and included in the 'Guaranteed Annual Income' field </t>
  </si>
  <si>
    <r>
      <t xml:space="preserve">Basic Gross annual income
</t>
    </r>
    <r>
      <rPr>
        <b/>
        <sz val="8"/>
        <color theme="1"/>
        <rFont val="Arial"/>
        <family val="2"/>
      </rPr>
      <t>(salary, pension etc)</t>
    </r>
  </si>
  <si>
    <r>
      <rPr>
        <b/>
        <sz val="10"/>
        <color theme="1"/>
        <rFont val="Arial"/>
        <family val="2"/>
      </rPr>
      <t xml:space="preserve">Guaranteed annual income </t>
    </r>
    <r>
      <rPr>
        <b/>
        <sz val="9"/>
        <color theme="1"/>
        <rFont val="Arial"/>
        <family val="2"/>
      </rPr>
      <t xml:space="preserve">
</t>
    </r>
    <r>
      <rPr>
        <b/>
        <sz val="8"/>
        <color theme="1"/>
        <rFont val="Arial"/>
        <family val="2"/>
      </rPr>
      <t>(shift, overtime, benefits, LGW etc)</t>
    </r>
  </si>
  <si>
    <r>
      <rPr>
        <b/>
        <sz val="10"/>
        <color theme="1"/>
        <rFont val="Arial"/>
        <family val="2"/>
      </rPr>
      <t>Regular annual income</t>
    </r>
    <r>
      <rPr>
        <b/>
        <sz val="9"/>
        <color theme="1"/>
        <rFont val="Arial"/>
        <family val="2"/>
      </rPr>
      <t xml:space="preserve"> 
</t>
    </r>
    <r>
      <rPr>
        <b/>
        <sz val="8"/>
        <color theme="1"/>
        <rFont val="Arial"/>
        <family val="2"/>
      </rPr>
      <t>(overtime, bonus etc)</t>
    </r>
  </si>
  <si>
    <t>Based on disposable income (with LTV/Income multiple limits), your client/s could borrow up to:</t>
  </si>
  <si>
    <t xml:space="preserve">The loan to value is: </t>
  </si>
  <si>
    <t>***HIM VERSION****</t>
  </si>
  <si>
    <t>Affordability Calculator</t>
  </si>
  <si>
    <t xml:space="preserve">**30-06-25** Should always select product +2% </t>
  </si>
  <si>
    <t>(usually x5, x6.5 for HIM)</t>
  </si>
  <si>
    <t>Max Loan (based on income multiple x6.5)</t>
  </si>
  <si>
    <t>Please input correct product rate &amp; term for affordability to be assessed correctly</t>
  </si>
  <si>
    <t>Greater London (located within)</t>
  </si>
  <si>
    <t>Greater London</t>
  </si>
  <si>
    <t>v.3.10 - Expires 02/2026 - Please download the latest version from The Tipton website after this date</t>
  </si>
  <si>
    <t>£85 each child under 10 years &amp;/or</t>
  </si>
  <si>
    <t>£85 each child 10-18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</si>
</sst>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quot;£&quot;#,##0"/>
  </numFmts>
  <fonts count="40"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b/>
      <sz val="9"/>
      <name val="Arial"/>
      <family val="2"/>
    </font>
    <font>
      <b/>
      <sz val="11"/>
      <name val="Arial"/>
      <family val="2"/>
    </font>
    <font>
      <sz val="11"/>
      <name val="Arial"/>
      <family val="2"/>
    </font>
    <font>
      <b/>
      <u/>
      <sz val="11"/>
      <name val="Arial"/>
      <family val="2"/>
    </font>
    <font>
      <b/>
      <vertAlign val="superscript"/>
      <sz val="11"/>
      <name val="Arial"/>
      <family val="2"/>
    </font>
    <font>
      <sz val="9"/>
      <name val="Arial"/>
      <family val="2"/>
    </font>
    <font>
      <i/>
      <sz val="10"/>
      <name val="Arial"/>
      <family val="2"/>
    </font>
    <font>
      <i/>
      <sz val="9"/>
      <name val="Arial"/>
      <family val="2"/>
    </font>
    <font>
      <vertAlign val="superscript"/>
      <sz val="10"/>
      <name val="Arial"/>
      <family val="2"/>
    </font>
    <font>
      <sz val="10"/>
      <color theme="0"/>
      <name val="Arial"/>
      <family val="2"/>
    </font>
    <font>
      <sz val="11"/>
      <color rgb="FF000000"/>
      <name val="Calibri"/>
      <family val="2"/>
    </font>
    <font>
      <b/>
      <sz val="22"/>
      <name val="Calibri"/>
      <family val="2"/>
      <scheme val="minor"/>
    </font>
    <font>
      <sz val="8"/>
      <color rgb="FF000000"/>
      <name val="Calibri"/>
      <family val="2"/>
    </font>
    <font>
      <b/>
      <sz val="8"/>
      <name val="Arial"/>
      <family val="2"/>
    </font>
    <font>
      <sz val="9"/>
      <color indexed="81"/>
      <name val="Tahoma"/>
      <family val="2"/>
    </font>
    <font>
      <b/>
      <sz val="10"/>
      <color theme="1"/>
      <name val="Arial"/>
      <family val="2"/>
    </font>
    <font>
      <b/>
      <sz val="9"/>
      <color theme="1"/>
      <name val="Arial"/>
      <family val="2"/>
    </font>
    <font>
      <sz val="11"/>
      <name val="Calibri"/>
      <family val="2"/>
      <scheme val="minor"/>
    </font>
    <font>
      <b/>
      <sz val="9"/>
      <color indexed="81"/>
      <name val="Tahoma"/>
      <family val="2"/>
    </font>
    <font>
      <b/>
      <sz val="26"/>
      <color theme="0"/>
      <name val="Calibri"/>
      <family val="2"/>
      <scheme val="minor"/>
    </font>
    <font>
      <b/>
      <sz val="18"/>
      <name val="Calibri"/>
      <family val="2"/>
    </font>
    <font>
      <vertAlign val="superscript"/>
      <sz val="11"/>
      <name val="Arial"/>
      <family val="2"/>
    </font>
    <font>
      <b/>
      <sz val="11"/>
      <color rgb="FF000000"/>
      <name val="Calibri"/>
      <family val="2"/>
    </font>
    <font>
      <b/>
      <sz val="9"/>
      <name val="Calibri"/>
      <family val="2"/>
    </font>
    <font>
      <b/>
      <sz val="12"/>
      <color theme="1"/>
      <name val="Calibri"/>
      <family val="2"/>
      <scheme val="minor"/>
    </font>
    <font>
      <b/>
      <sz val="12"/>
      <name val="Calibri"/>
      <family val="2"/>
      <scheme val="minor"/>
    </font>
    <font>
      <sz val="8"/>
      <name val="Calibri"/>
      <family val="2"/>
      <scheme val="minor"/>
    </font>
    <font>
      <b/>
      <vertAlign val="superscript"/>
      <sz val="9"/>
      <name val="Arial"/>
      <family val="2"/>
    </font>
    <font>
      <b/>
      <sz val="14"/>
      <name val="Calibri"/>
      <family val="2"/>
      <scheme val="minor"/>
    </font>
    <font>
      <b/>
      <sz val="8"/>
      <color theme="1"/>
      <name val="Arial"/>
      <family val="2"/>
    </font>
    <font>
      <b/>
      <sz val="28"/>
      <name val="Calibri"/>
      <family val="2"/>
      <scheme val="minor"/>
    </font>
    <font>
      <i/>
      <sz val="12"/>
      <name val="Calibri"/>
      <family val="2"/>
      <scheme val="minor"/>
    </font>
    <font>
      <sz val="12"/>
      <name val="Calibri"/>
      <family val="2"/>
      <scheme val="minor"/>
    </font>
    <font>
      <b/>
      <sz val="1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417DB4"/>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rgb="FFE6B8B7"/>
        <bgColor indexed="64"/>
      </patternFill>
    </fill>
  </fills>
  <borders count="57">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8EA9DB"/>
      </left>
      <right style="medium">
        <color rgb="FF8EA9DB"/>
      </right>
      <top style="medium">
        <color rgb="FF8EA9DB"/>
      </top>
      <bottom style="medium">
        <color rgb="FF8EA9DB"/>
      </bottom>
      <diagonal/>
    </border>
    <border>
      <left style="medium">
        <color rgb="FF8EA9DB"/>
      </left>
      <right style="medium">
        <color rgb="FF8EA9DB"/>
      </right>
      <top/>
      <bottom style="medium">
        <color rgb="FF8EA9DB"/>
      </bottom>
      <diagonal/>
    </border>
    <border>
      <left style="medium">
        <color rgb="FF8EA9DB"/>
      </left>
      <right style="medium">
        <color rgb="FF8EA9DB"/>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7">
    <xf numFmtId="0" fontId="0" fillId="0" borderId="0" xfId="0"/>
    <xf numFmtId="0" fontId="0" fillId="0" borderId="1" xfId="0" applyBorder="1"/>
    <xf numFmtId="0" fontId="2" fillId="0" borderId="2" xfId="0" applyFont="1" applyBorder="1"/>
    <xf numFmtId="10" fontId="0" fillId="0" borderId="1" xfId="2" applyNumberFormat="1" applyFont="1" applyBorder="1" applyProtection="1"/>
    <xf numFmtId="44" fontId="0" fillId="0" borderId="1" xfId="1" applyFont="1" applyBorder="1" applyProtection="1"/>
    <xf numFmtId="0" fontId="2" fillId="0" borderId="3" xfId="0" applyFont="1" applyBorder="1"/>
    <xf numFmtId="0" fontId="0" fillId="0" borderId="2"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xf numFmtId="44" fontId="0" fillId="0" borderId="0" xfId="1" applyFont="1" applyProtection="1"/>
    <xf numFmtId="0" fontId="2" fillId="0" borderId="5" xfId="0" applyFont="1" applyBorder="1"/>
    <xf numFmtId="0" fontId="0" fillId="0" borderId="6" xfId="0" applyBorder="1"/>
    <xf numFmtId="0" fontId="0" fillId="0" borderId="0" xfId="0" applyProtection="1">
      <protection hidden="1"/>
    </xf>
    <xf numFmtId="0" fontId="8" fillId="0" borderId="0" xfId="0" applyFont="1" applyProtection="1">
      <protection hidden="1"/>
    </xf>
    <xf numFmtId="0" fontId="0" fillId="0" borderId="0" xfId="0" applyAlignment="1" applyProtection="1">
      <alignment vertical="top"/>
      <protection hidden="1"/>
    </xf>
    <xf numFmtId="0" fontId="2" fillId="0" borderId="0" xfId="0" applyFont="1" applyProtection="1">
      <protection hidden="1"/>
    </xf>
    <xf numFmtId="44" fontId="2" fillId="0" borderId="0" xfId="0" applyNumberFormat="1" applyFont="1" applyAlignment="1" applyProtection="1">
      <alignment horizontal="center"/>
      <protection hidden="1"/>
    </xf>
    <xf numFmtId="164" fontId="2" fillId="0" borderId="0" xfId="0" applyNumberFormat="1" applyFont="1" applyAlignment="1" applyProtection="1">
      <alignment horizontal="center"/>
      <protection hidden="1"/>
    </xf>
    <xf numFmtId="0" fontId="4" fillId="0" borderId="0" xfId="0" applyFont="1" applyAlignment="1" applyProtection="1">
      <alignment vertical="top" wrapText="1"/>
      <protection hidden="1"/>
    </xf>
    <xf numFmtId="0" fontId="0" fillId="0" borderId="0" xfId="0" applyAlignment="1" applyProtection="1">
      <alignment horizontal="left" vertical="center" wrapText="1"/>
      <protection hidden="1"/>
    </xf>
    <xf numFmtId="0" fontId="2" fillId="0" borderId="8" xfId="0" applyFont="1" applyBorder="1"/>
    <xf numFmtId="0" fontId="4" fillId="0" borderId="0" xfId="0" applyFont="1"/>
    <xf numFmtId="0" fontId="2" fillId="0" borderId="0" xfId="0" applyFont="1" applyAlignment="1" applyProtection="1">
      <alignment horizontal="center" vertical="center"/>
      <protection hidden="1"/>
    </xf>
    <xf numFmtId="0" fontId="4" fillId="0" borderId="0" xfId="0" applyFont="1" applyProtection="1">
      <protection hidden="1"/>
    </xf>
    <xf numFmtId="0" fontId="15" fillId="0" borderId="0" xfId="0" applyFont="1" applyAlignment="1" applyProtection="1">
      <alignment horizontal="left" vertical="center" wrapText="1"/>
      <protection hidden="1"/>
    </xf>
    <xf numFmtId="44" fontId="2" fillId="2" borderId="10" xfId="0" applyNumberFormat="1" applyFont="1" applyFill="1" applyBorder="1" applyAlignment="1" applyProtection="1">
      <alignment horizontal="center"/>
      <protection hidden="1"/>
    </xf>
    <xf numFmtId="44" fontId="0" fillId="0" borderId="10" xfId="1" applyFont="1" applyBorder="1" applyAlignment="1" applyProtection="1">
      <alignment horizontal="center"/>
      <protection locked="0" hidden="1"/>
    </xf>
    <xf numFmtId="10" fontId="4" fillId="0" borderId="6" xfId="2" applyNumberFormat="1" applyFont="1" applyBorder="1" applyAlignment="1" applyProtection="1">
      <alignment horizontal="right"/>
    </xf>
    <xf numFmtId="10" fontId="0" fillId="0" borderId="1" xfId="0" applyNumberFormat="1" applyBorder="1"/>
    <xf numFmtId="0" fontId="16" fillId="4" borderId="23" xfId="0" applyFont="1" applyFill="1" applyBorder="1" applyAlignment="1">
      <alignment vertical="center"/>
    </xf>
    <xf numFmtId="0" fontId="16" fillId="0" borderId="24" xfId="0" applyFont="1" applyBorder="1" applyAlignment="1">
      <alignment vertical="center"/>
    </xf>
    <xf numFmtId="0" fontId="16" fillId="4" borderId="24" xfId="0" applyFont="1" applyFill="1" applyBorder="1" applyAlignment="1">
      <alignment vertical="center"/>
    </xf>
    <xf numFmtId="0" fontId="16" fillId="0" borderId="25" xfId="0" applyFont="1" applyBorder="1" applyAlignment="1">
      <alignment vertical="center"/>
    </xf>
    <xf numFmtId="44" fontId="0" fillId="0" borderId="0" xfId="0" applyNumberFormat="1" applyProtection="1">
      <protection hidden="1"/>
    </xf>
    <xf numFmtId="44" fontId="0" fillId="0" borderId="0" xfId="0" applyNumberFormat="1"/>
    <xf numFmtId="0" fontId="17"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6" fillId="0" borderId="24" xfId="0" applyFont="1" applyBorder="1" applyAlignment="1">
      <alignment vertical="center" wrapText="1"/>
    </xf>
    <xf numFmtId="44" fontId="4" fillId="0" borderId="0" xfId="1" applyFont="1" applyFill="1" applyBorder="1" applyAlignment="1" applyProtection="1">
      <alignment horizontal="center" vertical="center"/>
      <protection hidden="1"/>
    </xf>
    <xf numFmtId="0" fontId="18" fillId="4" borderId="24" xfId="0" applyFont="1" applyFill="1" applyBorder="1" applyAlignment="1">
      <alignment vertical="center"/>
    </xf>
    <xf numFmtId="0" fontId="9" fillId="0" borderId="0" xfId="0" applyFont="1" applyProtection="1">
      <protection hidden="1"/>
    </xf>
    <xf numFmtId="0" fontId="6" fillId="6" borderId="0" xfId="0" applyFont="1" applyFill="1" applyProtection="1">
      <protection hidden="1"/>
    </xf>
    <xf numFmtId="0" fontId="0" fillId="6" borderId="0" xfId="0" applyFill="1" applyProtection="1">
      <protection hidden="1"/>
    </xf>
    <xf numFmtId="0" fontId="3" fillId="6" borderId="0" xfId="0" applyFont="1" applyFill="1" applyProtection="1">
      <protection hidden="1"/>
    </xf>
    <xf numFmtId="0" fontId="3" fillId="6" borderId="0" xfId="0" applyFont="1" applyFill="1" applyAlignment="1" applyProtection="1">
      <alignment vertical="center"/>
      <protection hidden="1"/>
    </xf>
    <xf numFmtId="0" fontId="3" fillId="6" borderId="0" xfId="0" applyFont="1" applyFill="1" applyAlignment="1" applyProtection="1">
      <alignment vertical="center" wrapText="1"/>
      <protection hidden="1"/>
    </xf>
    <xf numFmtId="0" fontId="5" fillId="6" borderId="0" xfId="0" applyFont="1" applyFill="1" applyProtection="1">
      <protection hidden="1"/>
    </xf>
    <xf numFmtId="0" fontId="5" fillId="6" borderId="0" xfId="0" applyFont="1" applyFill="1" applyAlignment="1" applyProtection="1">
      <alignment vertical="center" wrapText="1"/>
      <protection hidden="1"/>
    </xf>
    <xf numFmtId="0" fontId="2" fillId="0" borderId="0" xfId="0" applyFont="1" applyAlignment="1" applyProtection="1">
      <alignment horizontal="center" vertical="top" wrapText="1"/>
      <protection hidden="1"/>
    </xf>
    <xf numFmtId="0" fontId="2" fillId="3" borderId="17"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44" fontId="0" fillId="7" borderId="10" xfId="1" applyFont="1" applyFill="1" applyBorder="1" applyAlignment="1" applyProtection="1">
      <alignment horizontal="center"/>
      <protection locked="0" hidden="1"/>
    </xf>
    <xf numFmtId="0" fontId="0" fillId="2" borderId="10" xfId="0" applyFill="1" applyBorder="1" applyProtection="1">
      <protection hidden="1"/>
    </xf>
    <xf numFmtId="0" fontId="1" fillId="0" borderId="14" xfId="0" applyFont="1" applyBorder="1" applyAlignment="1" applyProtection="1">
      <alignment horizontal="left" vertical="center"/>
      <protection hidden="1"/>
    </xf>
    <xf numFmtId="0" fontId="17" fillId="0" borderId="0" xfId="0" applyFont="1" applyAlignment="1" applyProtection="1">
      <alignment vertical="center" wrapText="1"/>
      <protection hidden="1"/>
    </xf>
    <xf numFmtId="44" fontId="1" fillId="0" borderId="10" xfId="1" applyFont="1" applyBorder="1" applyAlignment="1" applyProtection="1">
      <alignment horizontal="center" vertical="center" wrapText="1"/>
      <protection locked="0" hidden="1"/>
    </xf>
    <xf numFmtId="0" fontId="0" fillId="0" borderId="0" xfId="0" quotePrefix="1"/>
    <xf numFmtId="0" fontId="0" fillId="9" borderId="6" xfId="0" applyFill="1" applyBorder="1"/>
    <xf numFmtId="10" fontId="4" fillId="9" borderId="1" xfId="2" applyNumberFormat="1" applyFont="1" applyFill="1" applyBorder="1" applyAlignment="1" applyProtection="1">
      <alignment horizontal="right"/>
    </xf>
    <xf numFmtId="10" fontId="0" fillId="9" borderId="1" xfId="2" applyNumberFormat="1" applyFont="1" applyFill="1" applyBorder="1" applyProtection="1"/>
    <xf numFmtId="44" fontId="0" fillId="9" borderId="1" xfId="1" applyFont="1" applyFill="1" applyBorder="1" applyProtection="1"/>
    <xf numFmtId="0" fontId="0" fillId="9" borderId="1" xfId="1" applyNumberFormat="1" applyFont="1" applyFill="1" applyBorder="1" applyProtection="1"/>
    <xf numFmtId="0" fontId="0" fillId="9" borderId="1" xfId="0" applyFill="1" applyBorder="1"/>
    <xf numFmtId="44" fontId="0" fillId="9" borderId="9" xfId="1" applyFont="1" applyFill="1" applyBorder="1" applyProtection="1"/>
    <xf numFmtId="10" fontId="0" fillId="9" borderId="4" xfId="2" applyNumberFormat="1" applyFont="1" applyFill="1" applyBorder="1" applyProtection="1"/>
    <xf numFmtId="0" fontId="0" fillId="10" borderId="1" xfId="0" applyFill="1" applyBorder="1"/>
    <xf numFmtId="0" fontId="0" fillId="10" borderId="1" xfId="1" applyNumberFormat="1" applyFont="1" applyFill="1" applyBorder="1" applyProtection="1"/>
    <xf numFmtId="44" fontId="0" fillId="0" borderId="10" xfId="0" applyNumberFormat="1" applyBorder="1" applyProtection="1">
      <protection hidden="1"/>
    </xf>
    <xf numFmtId="44" fontId="0" fillId="0" borderId="30" xfId="0" applyNumberFormat="1" applyBorder="1" applyProtection="1">
      <protection hidden="1"/>
    </xf>
    <xf numFmtId="44" fontId="0" fillId="0" borderId="32" xfId="0" applyNumberFormat="1" applyBorder="1" applyProtection="1">
      <protection hidden="1"/>
    </xf>
    <xf numFmtId="44" fontId="0" fillId="0" borderId="33" xfId="0" applyNumberFormat="1" applyBorder="1" applyProtection="1">
      <protection hidden="1"/>
    </xf>
    <xf numFmtId="0" fontId="0" fillId="2" borderId="26" xfId="0" applyFill="1" applyBorder="1"/>
    <xf numFmtId="0" fontId="0" fillId="2" borderId="27" xfId="0" applyFill="1" applyBorder="1" applyProtection="1">
      <protection hidden="1"/>
    </xf>
    <xf numFmtId="44" fontId="0" fillId="2" borderId="27" xfId="0" applyNumberFormat="1" applyFill="1" applyBorder="1" applyProtection="1">
      <protection hidden="1"/>
    </xf>
    <xf numFmtId="44" fontId="0" fillId="2" borderId="28" xfId="0" applyNumberFormat="1" applyFill="1" applyBorder="1" applyProtection="1">
      <protection hidden="1"/>
    </xf>
    <xf numFmtId="0" fontId="0" fillId="2" borderId="29" xfId="0" applyFill="1" applyBorder="1"/>
    <xf numFmtId="44" fontId="0" fillId="2" borderId="10" xfId="0" applyNumberFormat="1" applyFill="1" applyBorder="1" applyProtection="1">
      <protection hidden="1"/>
    </xf>
    <xf numFmtId="44" fontId="0" fillId="2" borderId="30" xfId="0" applyNumberFormat="1" applyFill="1" applyBorder="1" applyProtection="1">
      <protection hidden="1"/>
    </xf>
    <xf numFmtId="0" fontId="0" fillId="3" borderId="29" xfId="0" applyFill="1" applyBorder="1"/>
    <xf numFmtId="0" fontId="0" fillId="3" borderId="31" xfId="0" applyFill="1" applyBorder="1"/>
    <xf numFmtId="0" fontId="0" fillId="3" borderId="8" xfId="0" applyFill="1" applyBorder="1"/>
    <xf numFmtId="0" fontId="0" fillId="3" borderId="34" xfId="0" applyFill="1" applyBorder="1"/>
    <xf numFmtId="0" fontId="0" fillId="3" borderId="9" xfId="0" applyFill="1" applyBorder="1"/>
    <xf numFmtId="0" fontId="12" fillId="0" borderId="0" xfId="0" applyFont="1" applyProtection="1">
      <protection hidden="1"/>
    </xf>
    <xf numFmtId="0" fontId="1" fillId="0" borderId="0" xfId="0" applyFont="1"/>
    <xf numFmtId="0" fontId="0" fillId="0" borderId="10" xfId="0" applyBorder="1"/>
    <xf numFmtId="0" fontId="1" fillId="0" borderId="5" xfId="0" applyFont="1" applyBorder="1"/>
    <xf numFmtId="0" fontId="1" fillId="0" borderId="2" xfId="0" applyFont="1" applyBorder="1"/>
    <xf numFmtId="0" fontId="1" fillId="0" borderId="3" xfId="0" applyFont="1" applyBorder="1"/>
    <xf numFmtId="0" fontId="1" fillId="0" borderId="8" xfId="0" applyFont="1" applyBorder="1"/>
    <xf numFmtId="164" fontId="0" fillId="0" borderId="9" xfId="0" applyNumberFormat="1" applyBorder="1"/>
    <xf numFmtId="0" fontId="0" fillId="0" borderId="8" xfId="0" applyBorder="1"/>
    <xf numFmtId="44" fontId="0" fillId="0" borderId="1" xfId="0" applyNumberForma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11" xfId="0" applyBorder="1"/>
    <xf numFmtId="0" fontId="0" fillId="0" borderId="37" xfId="0" applyBorder="1"/>
    <xf numFmtId="0" fontId="0" fillId="0" borderId="38" xfId="0" applyBorder="1"/>
    <xf numFmtId="0" fontId="0" fillId="9" borderId="35" xfId="0" applyFill="1" applyBorder="1"/>
    <xf numFmtId="44" fontId="0" fillId="9" borderId="4" xfId="1" applyFont="1" applyFill="1" applyBorder="1" applyProtection="1"/>
    <xf numFmtId="0" fontId="1" fillId="0" borderId="0" xfId="0" applyFont="1" applyAlignment="1" applyProtection="1">
      <alignment horizontal="right"/>
      <protection hidden="1"/>
    </xf>
    <xf numFmtId="0" fontId="3" fillId="0" borderId="0" xfId="0" applyFont="1"/>
    <xf numFmtId="0" fontId="2" fillId="3" borderId="5" xfId="0" applyFont="1" applyFill="1" applyBorder="1" applyAlignment="1" applyProtection="1">
      <alignment horizontal="left" vertical="top"/>
      <protection hidden="1"/>
    </xf>
    <xf numFmtId="44" fontId="2" fillId="3" borderId="6" xfId="0" applyNumberFormat="1" applyFont="1" applyFill="1" applyBorder="1" applyAlignment="1" applyProtection="1">
      <alignment horizontal="center" vertical="top"/>
      <protection hidden="1"/>
    </xf>
    <xf numFmtId="0" fontId="2" fillId="3" borderId="2" xfId="0" applyFont="1" applyFill="1" applyBorder="1" applyAlignment="1" applyProtection="1">
      <alignment horizontal="left"/>
      <protection hidden="1"/>
    </xf>
    <xf numFmtId="0" fontId="0" fillId="3" borderId="1" xfId="0" applyFill="1" applyBorder="1" applyAlignment="1" applyProtection="1">
      <alignment horizontal="center"/>
      <protection hidden="1"/>
    </xf>
    <xf numFmtId="0" fontId="4" fillId="3" borderId="2" xfId="0" applyFont="1" applyFill="1" applyBorder="1" applyAlignment="1" applyProtection="1">
      <alignment horizontal="left"/>
      <protection hidden="1"/>
    </xf>
    <xf numFmtId="44" fontId="1" fillId="3" borderId="1" xfId="1" applyFont="1" applyFill="1" applyBorder="1" applyAlignment="1" applyProtection="1">
      <alignment horizontal="center"/>
      <protection hidden="1"/>
    </xf>
    <xf numFmtId="44" fontId="0" fillId="3" borderId="1" xfId="0" applyNumberFormat="1" applyFill="1" applyBorder="1" applyAlignment="1" applyProtection="1">
      <alignment horizontal="center"/>
      <protection hidden="1"/>
    </xf>
    <xf numFmtId="0" fontId="0" fillId="3" borderId="2" xfId="0" applyFill="1" applyBorder="1" applyAlignment="1" applyProtection="1">
      <alignment wrapText="1"/>
      <protection hidden="1"/>
    </xf>
    <xf numFmtId="0" fontId="0" fillId="3" borderId="2" xfId="0" applyFill="1" applyBorder="1" applyAlignment="1" applyProtection="1">
      <alignment horizontal="left"/>
      <protection hidden="1"/>
    </xf>
    <xf numFmtId="0" fontId="1" fillId="3" borderId="2" xfId="0" applyFont="1" applyFill="1" applyBorder="1" applyAlignment="1" applyProtection="1">
      <alignment horizontal="left" vertical="center" wrapText="1"/>
      <protection hidden="1"/>
    </xf>
    <xf numFmtId="44" fontId="4" fillId="3" borderId="1" xfId="1" applyFont="1" applyFill="1" applyBorder="1" applyAlignment="1" applyProtection="1">
      <alignment horizontal="center"/>
      <protection hidden="1"/>
    </xf>
    <xf numFmtId="0" fontId="2" fillId="3" borderId="3" xfId="0" applyFont="1" applyFill="1" applyBorder="1" applyAlignment="1" applyProtection="1">
      <alignment wrapText="1"/>
      <protection hidden="1"/>
    </xf>
    <xf numFmtId="44" fontId="2" fillId="3" borderId="4" xfId="1" applyFont="1" applyFill="1" applyBorder="1" applyAlignment="1" applyProtection="1">
      <alignment horizontal="center"/>
      <protection hidden="1"/>
    </xf>
    <xf numFmtId="0" fontId="0" fillId="7" borderId="2" xfId="0" applyFill="1" applyBorder="1"/>
    <xf numFmtId="0" fontId="0" fillId="7" borderId="1" xfId="0" applyFill="1" applyBorder="1"/>
    <xf numFmtId="0" fontId="21" fillId="3" borderId="10"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10" xfId="0" applyFont="1" applyBorder="1" applyAlignment="1" applyProtection="1">
      <alignment horizontal="left"/>
      <protection locked="0" hidden="1"/>
    </xf>
    <xf numFmtId="44" fontId="0" fillId="3" borderId="0" xfId="0" applyNumberFormat="1" applyFill="1" applyAlignment="1" applyProtection="1">
      <alignment horizontal="center"/>
      <protection hidden="1"/>
    </xf>
    <xf numFmtId="0" fontId="0" fillId="0" borderId="4" xfId="0" applyBorder="1"/>
    <xf numFmtId="0" fontId="11" fillId="0" borderId="10" xfId="0" applyFont="1" applyBorder="1" applyAlignment="1" applyProtection="1">
      <alignment horizontal="left"/>
      <protection locked="0" hidden="1"/>
    </xf>
    <xf numFmtId="0" fontId="0" fillId="0" borderId="7" xfId="0" applyBorder="1" applyProtection="1">
      <protection hidden="1"/>
    </xf>
    <xf numFmtId="164" fontId="0" fillId="0" borderId="35" xfId="0" applyNumberFormat="1" applyBorder="1"/>
    <xf numFmtId="10" fontId="0" fillId="0" borderId="0" xfId="0" applyNumberFormat="1"/>
    <xf numFmtId="0" fontId="0" fillId="9" borderId="9" xfId="0" applyFill="1" applyBorder="1"/>
    <xf numFmtId="0" fontId="28" fillId="0" borderId="35" xfId="0" applyFont="1" applyBorder="1" applyAlignment="1">
      <alignment horizontal="center" vertical="center"/>
    </xf>
    <xf numFmtId="9" fontId="16" fillId="0" borderId="44" xfId="0" applyNumberFormat="1" applyFont="1" applyBorder="1" applyAlignment="1">
      <alignment horizontal="center" vertical="center"/>
    </xf>
    <xf numFmtId="6" fontId="16" fillId="0" borderId="4" xfId="0" applyNumberFormat="1" applyFont="1" applyBorder="1" applyAlignment="1">
      <alignment horizontal="center" vertical="center"/>
    </xf>
    <xf numFmtId="165" fontId="16" fillId="0" borderId="4" xfId="0" applyNumberFormat="1" applyFont="1" applyBorder="1" applyAlignment="1">
      <alignment horizontal="center" vertical="center"/>
    </xf>
    <xf numFmtId="0" fontId="1" fillId="0" borderId="33" xfId="0" applyFont="1" applyBorder="1"/>
    <xf numFmtId="0" fontId="1" fillId="9" borderId="1" xfId="0" quotePrefix="1" applyFont="1" applyFill="1" applyBorder="1" applyAlignment="1">
      <alignment horizontal="right"/>
    </xf>
    <xf numFmtId="0" fontId="28" fillId="0" borderId="9" xfId="0" applyFont="1" applyBorder="1" applyAlignment="1">
      <alignment horizontal="left" vertical="center"/>
    </xf>
    <xf numFmtId="1" fontId="0" fillId="0" borderId="0" xfId="0" applyNumberFormat="1" applyAlignment="1" applyProtection="1">
      <alignment vertical="center"/>
      <protection locked="0" hidden="1"/>
    </xf>
    <xf numFmtId="0" fontId="2" fillId="3" borderId="10" xfId="0" applyFont="1" applyFill="1" applyBorder="1" applyAlignment="1" applyProtection="1">
      <alignment vertical="center"/>
      <protection hidden="1"/>
    </xf>
    <xf numFmtId="0" fontId="2" fillId="0" borderId="29" xfId="0" applyFont="1" applyBorder="1"/>
    <xf numFmtId="0" fontId="1" fillId="0" borderId="0" xfId="0" applyFont="1" applyAlignment="1" applyProtection="1">
      <alignment vertical="top" wrapText="1"/>
      <protection hidden="1"/>
    </xf>
    <xf numFmtId="164" fontId="0" fillId="0" borderId="44" xfId="0" applyNumberFormat="1" applyBorder="1"/>
    <xf numFmtId="0" fontId="0" fillId="0" borderId="5" xfId="0" applyBorder="1"/>
    <xf numFmtId="44" fontId="0" fillId="2" borderId="35" xfId="0" applyNumberFormat="1" applyFill="1" applyBorder="1" applyAlignment="1">
      <alignment horizontal="left"/>
    </xf>
    <xf numFmtId="0" fontId="0" fillId="2" borderId="35" xfId="0" applyFill="1" applyBorder="1" applyAlignment="1">
      <alignment horizontal="left"/>
    </xf>
    <xf numFmtId="44" fontId="0" fillId="0" borderId="3" xfId="0" applyNumberFormat="1" applyBorder="1"/>
    <xf numFmtId="0" fontId="0" fillId="2" borderId="44" xfId="0" applyFill="1" applyBorder="1" applyAlignment="1">
      <alignment horizontal="left"/>
    </xf>
    <xf numFmtId="44" fontId="0" fillId="2" borderId="44" xfId="0" applyNumberFormat="1" applyFill="1" applyBorder="1" applyAlignment="1">
      <alignment horizontal="left"/>
    </xf>
    <xf numFmtId="44" fontId="0" fillId="0" borderId="2" xfId="0" applyNumberFormat="1" applyBorder="1"/>
    <xf numFmtId="0" fontId="0" fillId="0" borderId="3" xfId="0" applyBorder="1"/>
    <xf numFmtId="164" fontId="0" fillId="14" borderId="35" xfId="0" applyNumberFormat="1" applyFill="1" applyBorder="1"/>
    <xf numFmtId="164" fontId="0" fillId="15" borderId="9" xfId="0" applyNumberFormat="1" applyFill="1" applyBorder="1"/>
    <xf numFmtId="164" fontId="0" fillId="15" borderId="35" xfId="0" applyNumberFormat="1" applyFill="1" applyBorder="1"/>
    <xf numFmtId="0" fontId="0" fillId="15" borderId="0" xfId="0" applyFill="1"/>
    <xf numFmtId="0" fontId="0" fillId="14" borderId="0" xfId="0" applyFill="1"/>
    <xf numFmtId="164" fontId="0" fillId="16" borderId="9" xfId="0" applyNumberFormat="1" applyFill="1" applyBorder="1"/>
    <xf numFmtId="0" fontId="1" fillId="15" borderId="8" xfId="0" applyFont="1" applyFill="1" applyBorder="1"/>
    <xf numFmtId="0" fontId="1" fillId="14" borderId="8" xfId="0" applyFont="1" applyFill="1" applyBorder="1"/>
    <xf numFmtId="0" fontId="1" fillId="14" borderId="0" xfId="0" applyFont="1" applyFill="1"/>
    <xf numFmtId="0" fontId="1" fillId="15" borderId="0" xfId="0" applyFont="1" applyFill="1"/>
    <xf numFmtId="0" fontId="1" fillId="0" borderId="0" xfId="0" applyFont="1" applyAlignment="1" applyProtection="1">
      <alignment horizontal="center" vertical="center"/>
      <protection hidden="1"/>
    </xf>
    <xf numFmtId="44" fontId="0" fillId="0" borderId="0" xfId="1"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10" fontId="0" fillId="2" borderId="11" xfId="0" applyNumberFormat="1" applyFill="1" applyBorder="1" applyAlignment="1" applyProtection="1">
      <alignment horizontal="center" vertical="center" wrapText="1"/>
      <protection hidden="1"/>
    </xf>
    <xf numFmtId="10" fontId="0" fillId="2" borderId="10" xfId="0" applyNumberFormat="1" applyFill="1" applyBorder="1" applyAlignment="1" applyProtection="1">
      <alignment horizontal="center" vertical="center" wrapText="1"/>
      <protection hidden="1"/>
    </xf>
    <xf numFmtId="0" fontId="0" fillId="0" borderId="0" xfId="0" quotePrefix="1" applyProtection="1">
      <protection hidden="1"/>
    </xf>
    <xf numFmtId="10" fontId="2" fillId="18" borderId="11" xfId="0" applyNumberFormat="1" applyFont="1" applyFill="1" applyBorder="1" applyAlignment="1" applyProtection="1">
      <alignment horizontal="center" vertical="center" wrapText="1"/>
      <protection locked="0" hidden="1"/>
    </xf>
    <xf numFmtId="1" fontId="2" fillId="18" borderId="10" xfId="0" applyNumberFormat="1" applyFont="1" applyFill="1" applyBorder="1" applyAlignment="1" applyProtection="1">
      <alignment horizontal="center" vertical="center"/>
      <protection locked="0" hidden="1"/>
    </xf>
    <xf numFmtId="44" fontId="0" fillId="0" borderId="0" xfId="1" applyFont="1" applyBorder="1" applyAlignment="1" applyProtection="1">
      <alignment horizontal="center" vertical="center"/>
      <protection locked="0" hidden="1"/>
    </xf>
    <xf numFmtId="44" fontId="1" fillId="0" borderId="0" xfId="1" applyFont="1" applyBorder="1" applyAlignment="1" applyProtection="1">
      <alignment horizontal="center" vertical="center" wrapText="1"/>
      <protection locked="0" hidden="1"/>
    </xf>
    <xf numFmtId="0" fontId="1" fillId="0" borderId="18" xfId="1" applyNumberFormat="1" applyFont="1" applyFill="1" applyBorder="1" applyAlignment="1" applyProtection="1">
      <alignment horizontal="center" vertical="center"/>
      <protection locked="0" hidden="1"/>
    </xf>
    <xf numFmtId="0" fontId="1" fillId="0" borderId="19" xfId="1" applyNumberFormat="1" applyFont="1" applyFill="1" applyBorder="1" applyAlignment="1" applyProtection="1">
      <alignment horizontal="center" vertical="center"/>
      <protection locked="0" hidden="1"/>
    </xf>
    <xf numFmtId="0" fontId="0" fillId="3" borderId="0" xfId="0" applyFill="1" applyAlignment="1" applyProtection="1">
      <alignment horizontal="center"/>
      <protection hidden="1"/>
    </xf>
    <xf numFmtId="0" fontId="32" fillId="10" borderId="21" xfId="0" applyFont="1" applyFill="1" applyBorder="1" applyAlignment="1" applyProtection="1">
      <alignment horizontal="center" vertical="center" wrapText="1"/>
      <protection hidden="1"/>
    </xf>
    <xf numFmtId="0" fontId="32" fillId="10" borderId="20" xfId="0" applyFont="1" applyFill="1" applyBorder="1" applyAlignment="1" applyProtection="1">
      <alignment horizontal="center" vertical="center" wrapText="1"/>
      <protection hidden="1"/>
    </xf>
    <xf numFmtId="0" fontId="32" fillId="10" borderId="7" xfId="0" applyFont="1" applyFill="1" applyBorder="1" applyAlignment="1" applyProtection="1">
      <alignment horizontal="center" vertical="center" wrapText="1"/>
      <protection hidden="1"/>
    </xf>
    <xf numFmtId="0" fontId="32" fillId="10" borderId="12"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protection locked="0" hidden="1"/>
    </xf>
    <xf numFmtId="44" fontId="31" fillId="11" borderId="10" xfId="0" applyNumberFormat="1" applyFont="1" applyFill="1" applyBorder="1" applyAlignment="1" applyProtection="1">
      <alignment horizontal="center" vertical="center"/>
      <protection hidden="1"/>
    </xf>
    <xf numFmtId="0" fontId="29" fillId="10" borderId="7"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hidden="1"/>
    </xf>
    <xf numFmtId="0" fontId="38" fillId="3" borderId="0" xfId="0" applyFont="1" applyFill="1" applyAlignment="1" applyProtection="1">
      <alignment horizontal="center" vertical="center" wrapText="1"/>
      <protection hidden="1"/>
    </xf>
    <xf numFmtId="164" fontId="36" fillId="2" borderId="0" xfId="1" applyNumberFormat="1" applyFont="1" applyFill="1" applyBorder="1" applyAlignment="1" applyProtection="1">
      <alignment horizontal="center" vertical="center"/>
      <protection hidden="1"/>
    </xf>
    <xf numFmtId="0" fontId="38" fillId="3" borderId="0" xfId="0" applyFont="1" applyFill="1" applyAlignment="1" applyProtection="1">
      <alignment horizontal="right" vertical="center"/>
      <protection hidden="1"/>
    </xf>
    <xf numFmtId="10" fontId="39" fillId="2" borderId="0" xfId="0" applyNumberFormat="1" applyFont="1" applyFill="1" applyAlignment="1" applyProtection="1">
      <alignment horizontal="center" vertical="center"/>
      <protection hidden="1"/>
    </xf>
    <xf numFmtId="0" fontId="2" fillId="18" borderId="16" xfId="0" applyFont="1" applyFill="1" applyBorder="1" applyAlignment="1">
      <alignment horizontal="center" vertical="center"/>
    </xf>
    <xf numFmtId="0" fontId="25" fillId="8" borderId="0" xfId="0" applyFont="1" applyFill="1" applyAlignment="1" applyProtection="1">
      <alignment horizontal="left" vertical="center" wrapText="1"/>
      <protection hidden="1"/>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44" fontId="0" fillId="0" borderId="22" xfId="1" applyFont="1" applyBorder="1" applyAlignment="1" applyProtection="1">
      <alignment horizontal="center" vertical="center"/>
      <protection locked="0" hidden="1"/>
    </xf>
    <xf numFmtId="44" fontId="0" fillId="0" borderId="11" xfId="1" applyFont="1" applyBorder="1" applyAlignment="1" applyProtection="1">
      <alignment horizontal="center" vertical="center"/>
      <protection locked="0" hidden="1"/>
    </xf>
    <xf numFmtId="0" fontId="2" fillId="3" borderId="21"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44" fontId="4" fillId="2" borderId="22" xfId="1" applyFont="1" applyFill="1" applyBorder="1" applyAlignment="1" applyProtection="1">
      <alignment horizontal="center" vertical="center"/>
      <protection hidden="1"/>
    </xf>
    <xf numFmtId="44" fontId="4" fillId="2" borderId="11" xfId="1" applyFont="1" applyFill="1" applyBorder="1" applyAlignment="1" applyProtection="1">
      <alignment horizontal="center" vertical="center"/>
      <protection hidden="1"/>
    </xf>
    <xf numFmtId="44" fontId="4" fillId="0" borderId="21" xfId="1" applyFont="1" applyFill="1" applyBorder="1" applyAlignment="1" applyProtection="1">
      <alignment horizontal="center" vertical="center"/>
      <protection locked="0" hidden="1"/>
    </xf>
    <xf numFmtId="44" fontId="4" fillId="0" borderId="13" xfId="1" applyFont="1" applyFill="1" applyBorder="1" applyAlignment="1" applyProtection="1">
      <alignment horizontal="center" vertical="center"/>
      <protection locked="0" hidden="1"/>
    </xf>
    <xf numFmtId="0" fontId="1" fillId="0" borderId="20" xfId="0" applyFont="1" applyBorder="1" applyAlignment="1" applyProtection="1">
      <alignment horizontal="left" vertical="center"/>
      <protection locked="0" hidden="1"/>
    </xf>
    <xf numFmtId="0" fontId="1" fillId="0" borderId="15" xfId="0" applyFont="1" applyBorder="1" applyAlignment="1" applyProtection="1">
      <alignment horizontal="left" vertical="center"/>
      <protection locked="0" hidden="1"/>
    </xf>
    <xf numFmtId="44" fontId="30" fillId="2" borderId="10" xfId="0" applyNumberFormat="1" applyFont="1" applyFill="1" applyBorder="1" applyAlignment="1" applyProtection="1">
      <alignment horizontal="center" vertical="center"/>
      <protection hidden="1"/>
    </xf>
    <xf numFmtId="0" fontId="6" fillId="6" borderId="0" xfId="0" applyFont="1" applyFill="1" applyAlignment="1" applyProtection="1">
      <alignment horizontal="center" vertical="center" wrapText="1"/>
      <protection hidden="1"/>
    </xf>
    <xf numFmtId="0" fontId="2" fillId="5" borderId="0" xfId="0" applyFont="1" applyFill="1" applyAlignment="1" applyProtection="1">
      <alignment horizontal="center" vertical="top" wrapText="1"/>
      <protection hidden="1"/>
    </xf>
    <xf numFmtId="44" fontId="2" fillId="2" borderId="22" xfId="1"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0" fontId="1" fillId="3" borderId="17" xfId="0" applyFont="1" applyFill="1" applyBorder="1" applyAlignment="1" applyProtection="1">
      <alignment horizontal="left"/>
      <protection hidden="1"/>
    </xf>
    <xf numFmtId="0" fontId="1" fillId="3" borderId="18" xfId="0" applyFont="1" applyFill="1" applyBorder="1" applyAlignment="1" applyProtection="1">
      <alignment horizontal="left"/>
      <protection hidden="1"/>
    </xf>
    <xf numFmtId="0" fontId="4" fillId="3" borderId="10" xfId="0" applyFont="1" applyFill="1" applyBorder="1" applyAlignment="1" applyProtection="1">
      <alignment horizontal="left" vertical="center" wrapText="1"/>
      <protection hidden="1"/>
    </xf>
    <xf numFmtId="44" fontId="0" fillId="0" borderId="17" xfId="1" applyFont="1" applyBorder="1" applyAlignment="1" applyProtection="1">
      <alignment horizontal="center" vertical="center"/>
      <protection locked="0" hidden="1"/>
    </xf>
    <xf numFmtId="44" fontId="0" fillId="0" borderId="19" xfId="1" applyFont="1" applyBorder="1" applyAlignment="1" applyProtection="1">
      <alignment horizontal="center" vertical="center"/>
      <protection locked="0" hidden="1"/>
    </xf>
    <xf numFmtId="0" fontId="9" fillId="6" borderId="0" xfId="0" applyFont="1" applyFill="1" applyAlignment="1" applyProtection="1">
      <alignment horizontal="left" wrapText="1"/>
      <protection hidden="1"/>
    </xf>
    <xf numFmtId="0" fontId="9" fillId="6" borderId="14" xfId="0" applyFont="1" applyFill="1" applyBorder="1" applyAlignment="1" applyProtection="1">
      <alignment horizontal="left" wrapText="1"/>
      <protection hidden="1"/>
    </xf>
    <xf numFmtId="0" fontId="4" fillId="0" borderId="10" xfId="0" applyFont="1" applyBorder="1" applyAlignment="1" applyProtection="1">
      <alignment horizontal="left"/>
      <protection hidden="1"/>
    </xf>
    <xf numFmtId="0" fontId="2" fillId="2" borderId="10" xfId="0" applyFont="1" applyFill="1" applyBorder="1" applyAlignment="1" applyProtection="1">
      <alignment horizontal="left"/>
      <protection hidden="1"/>
    </xf>
    <xf numFmtId="0" fontId="1" fillId="0" borderId="10" xfId="0" applyFont="1" applyBorder="1" applyAlignment="1" applyProtection="1">
      <alignment horizontal="left"/>
      <protection locked="0" hidden="1"/>
    </xf>
    <xf numFmtId="0" fontId="1" fillId="0" borderId="10" xfId="0" applyFont="1" applyBorder="1" applyAlignment="1" applyProtection="1">
      <alignment horizontal="left"/>
      <protection hidden="1"/>
    </xf>
    <xf numFmtId="0" fontId="2" fillId="3" borderId="17" xfId="0" applyFont="1" applyFill="1" applyBorder="1" applyAlignment="1" applyProtection="1">
      <alignment horizontal="center" vertical="center" wrapText="1"/>
      <protection hidden="1"/>
    </xf>
    <xf numFmtId="0" fontId="9" fillId="6" borderId="0" xfId="0" applyFont="1" applyFill="1" applyAlignment="1" applyProtection="1">
      <alignment horizontal="left" vertical="top" wrapText="1"/>
      <protection hidden="1"/>
    </xf>
    <xf numFmtId="0" fontId="9" fillId="6" borderId="14" xfId="0" applyFont="1" applyFill="1" applyBorder="1" applyAlignment="1" applyProtection="1">
      <alignment horizontal="left" vertical="top" wrapText="1"/>
      <protection hidden="1"/>
    </xf>
    <xf numFmtId="0" fontId="2" fillId="3" borderId="19"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locked="0" hidden="1"/>
    </xf>
    <xf numFmtId="0" fontId="26" fillId="6" borderId="0" xfId="0" applyFont="1" applyFill="1" applyAlignment="1" applyProtection="1">
      <alignment horizontal="left" vertical="center"/>
      <protection hidden="1"/>
    </xf>
    <xf numFmtId="0" fontId="34" fillId="3" borderId="0" xfId="0" applyFont="1" applyFill="1" applyAlignment="1" applyProtection="1">
      <alignment horizontal="center" vertical="center"/>
      <protection hidden="1"/>
    </xf>
    <xf numFmtId="164" fontId="17" fillId="12" borderId="0" xfId="1" applyNumberFormat="1" applyFont="1" applyFill="1" applyBorder="1" applyAlignment="1" applyProtection="1">
      <alignment horizontal="center" vertical="center" wrapText="1"/>
      <protection hidden="1"/>
    </xf>
    <xf numFmtId="0" fontId="0" fillId="3" borderId="14" xfId="0" applyFill="1" applyBorder="1" applyAlignment="1" applyProtection="1">
      <alignment horizontal="center"/>
      <protection hidden="1"/>
    </xf>
    <xf numFmtId="0" fontId="2" fillId="3" borderId="10" xfId="0" applyFont="1" applyFill="1" applyBorder="1" applyAlignment="1" applyProtection="1">
      <alignment horizontal="center" vertical="center"/>
      <protection hidden="1"/>
    </xf>
    <xf numFmtId="0" fontId="37" fillId="3" borderId="0" xfId="0" applyFont="1" applyFill="1" applyAlignment="1" applyProtection="1">
      <alignment horizontal="center" vertical="center"/>
      <protection hidden="1"/>
    </xf>
    <xf numFmtId="0" fontId="11" fillId="0" borderId="47" xfId="0" applyFont="1" applyBorder="1" applyAlignment="1" applyProtection="1">
      <alignment horizontal="left" vertical="center"/>
      <protection hidden="1"/>
    </xf>
    <xf numFmtId="0" fontId="11" fillId="0" borderId="16" xfId="0" applyFont="1" applyBorder="1" applyAlignment="1" applyProtection="1">
      <alignment vertical="center"/>
      <protection hidden="1"/>
    </xf>
    <xf numFmtId="0" fontId="11" fillId="0" borderId="20" xfId="0" applyFont="1" applyBorder="1" applyAlignment="1" applyProtection="1">
      <alignment vertical="center"/>
      <protection hidden="1"/>
    </xf>
    <xf numFmtId="0" fontId="11" fillId="0" borderId="2" xfId="0" applyFont="1" applyBorder="1" applyAlignment="1" applyProtection="1">
      <alignment horizontal="left" vertical="center"/>
      <protection hidden="1"/>
    </xf>
    <xf numFmtId="0" fontId="11" fillId="0" borderId="0" xfId="0" applyFont="1" applyAlignment="1" applyProtection="1">
      <alignment vertical="center"/>
      <protection hidden="1"/>
    </xf>
    <xf numFmtId="0" fontId="11" fillId="0" borderId="12" xfId="0" applyFont="1" applyBorder="1" applyAlignment="1" applyProtection="1">
      <alignment vertical="center"/>
      <protection hidden="1"/>
    </xf>
    <xf numFmtId="0" fontId="11" fillId="3" borderId="2" xfId="0" applyFont="1" applyFill="1" applyBorder="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1" fillId="3" borderId="0" xfId="0" applyFont="1" applyFill="1" applyAlignment="1" applyProtection="1">
      <alignment vertical="center"/>
      <protection hidden="1"/>
    </xf>
    <xf numFmtId="0" fontId="11" fillId="3" borderId="12" xfId="0" applyFont="1" applyFill="1" applyBorder="1" applyAlignment="1" applyProtection="1">
      <alignment vertical="center"/>
      <protection hidden="1"/>
    </xf>
    <xf numFmtId="0" fontId="11" fillId="0" borderId="2"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3" xfId="0" applyFont="1" applyBorder="1" applyAlignment="1" applyProtection="1">
      <alignment horizontal="left" vertical="center" wrapText="1"/>
      <protection hidden="1"/>
    </xf>
    <xf numFmtId="0" fontId="11" fillId="0" borderId="49" xfId="0" applyFont="1" applyBorder="1" applyAlignment="1" applyProtection="1">
      <alignment horizontal="left" vertical="center" wrapText="1"/>
      <protection hidden="1"/>
    </xf>
    <xf numFmtId="0" fontId="6" fillId="0" borderId="17"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44" fontId="11" fillId="0" borderId="17" xfId="1" applyFont="1" applyBorder="1" applyAlignment="1" applyProtection="1">
      <alignment horizontal="center" vertical="center" wrapText="1"/>
      <protection hidden="1"/>
    </xf>
    <xf numFmtId="44" fontId="11" fillId="0" borderId="19" xfId="1"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hidden="1"/>
    </xf>
    <xf numFmtId="0" fontId="11" fillId="0" borderId="18" xfId="0" applyFont="1" applyBorder="1" applyAlignment="1" applyProtection="1">
      <alignment horizontal="left" vertical="center" wrapText="1"/>
      <protection hidden="1"/>
    </xf>
    <xf numFmtId="0" fontId="11" fillId="0" borderId="19"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11" fillId="0" borderId="3" xfId="0" applyFont="1" applyBorder="1" applyAlignment="1" applyProtection="1">
      <alignment horizontal="left" vertical="center"/>
      <protection hidden="1"/>
    </xf>
    <xf numFmtId="0" fontId="11" fillId="0" borderId="43" xfId="0" applyFont="1" applyBorder="1" applyAlignment="1" applyProtection="1">
      <alignment vertical="center"/>
      <protection hidden="1"/>
    </xf>
    <xf numFmtId="0" fontId="11" fillId="0" borderId="49" xfId="0" applyFont="1" applyBorder="1" applyAlignment="1" applyProtection="1">
      <alignment vertical="center"/>
      <protection hidden="1"/>
    </xf>
    <xf numFmtId="44" fontId="11" fillId="0" borderId="50" xfId="0" applyNumberFormat="1" applyFont="1" applyBorder="1" applyAlignment="1" applyProtection="1">
      <alignment horizontal="center" vertical="center"/>
      <protection locked="0" hidden="1"/>
    </xf>
    <xf numFmtId="44" fontId="11" fillId="0" borderId="49" xfId="0" applyNumberFormat="1" applyFont="1" applyBorder="1" applyAlignment="1" applyProtection="1">
      <alignment horizontal="center" vertical="center"/>
      <protection locked="0" hidden="1"/>
    </xf>
    <xf numFmtId="44" fontId="11" fillId="2" borderId="7" xfId="1" applyFont="1" applyFill="1" applyBorder="1" applyAlignment="1" applyProtection="1">
      <alignment horizontal="center" vertical="center"/>
      <protection locked="0" hidden="1"/>
    </xf>
    <xf numFmtId="44" fontId="11" fillId="2" borderId="12" xfId="1" applyFont="1" applyFill="1" applyBorder="1" applyAlignment="1" applyProtection="1">
      <alignment horizontal="center" vertical="center"/>
      <protection locked="0" hidden="1"/>
    </xf>
    <xf numFmtId="0" fontId="6" fillId="0" borderId="27" xfId="0" applyFont="1" applyBorder="1" applyAlignment="1" applyProtection="1">
      <alignment horizontal="center" vertical="center" wrapText="1"/>
      <protection hidden="1"/>
    </xf>
    <xf numFmtId="44" fontId="11" fillId="0" borderId="21" xfId="1" applyFont="1" applyBorder="1" applyAlignment="1" applyProtection="1">
      <alignment horizontal="center" vertical="center"/>
      <protection locked="0" hidden="1"/>
    </xf>
    <xf numFmtId="44" fontId="11" fillId="0" borderId="20" xfId="1" applyFont="1" applyBorder="1" applyAlignment="1" applyProtection="1">
      <alignment horizontal="center" vertical="center"/>
      <protection locked="0" hidden="1"/>
    </xf>
    <xf numFmtId="44" fontId="11" fillId="0" borderId="7" xfId="1" applyFont="1" applyFill="1" applyBorder="1" applyAlignment="1" applyProtection="1">
      <alignment horizontal="center" vertical="center"/>
      <protection locked="0" hidden="1"/>
    </xf>
    <xf numFmtId="44" fontId="11" fillId="0" borderId="12" xfId="1" applyFont="1" applyFill="1" applyBorder="1" applyAlignment="1" applyProtection="1">
      <alignment horizontal="center" vertical="center"/>
      <protection locked="0" hidden="1"/>
    </xf>
    <xf numFmtId="0" fontId="7" fillId="6" borderId="0" xfId="0" applyFont="1" applyFill="1" applyAlignment="1" applyProtection="1">
      <alignment horizontal="left" vertical="top"/>
      <protection hidden="1"/>
    </xf>
    <xf numFmtId="0" fontId="6" fillId="0" borderId="36"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11" fillId="0" borderId="46" xfId="0" applyFont="1" applyBorder="1" applyAlignment="1" applyProtection="1">
      <alignment horizontal="center" vertical="center"/>
      <protection hidden="1"/>
    </xf>
    <xf numFmtId="0" fontId="2" fillId="2" borderId="53" xfId="0" applyFont="1" applyFill="1" applyBorder="1" applyAlignment="1" applyProtection="1">
      <alignment horizontal="left" vertical="center"/>
      <protection hidden="1"/>
    </xf>
    <xf numFmtId="0" fontId="2" fillId="2" borderId="54" xfId="0" applyFont="1" applyFill="1" applyBorder="1" applyAlignment="1" applyProtection="1">
      <alignment horizontal="left" vertical="center"/>
      <protection hidden="1"/>
    </xf>
    <xf numFmtId="0" fontId="0" fillId="2" borderId="54" xfId="0" applyFill="1" applyBorder="1" applyAlignment="1" applyProtection="1">
      <alignment horizontal="left" vertical="center"/>
      <protection hidden="1"/>
    </xf>
    <xf numFmtId="0" fontId="2" fillId="2" borderId="8" xfId="0" applyFont="1" applyFill="1" applyBorder="1" applyAlignment="1" applyProtection="1">
      <alignment horizontal="left" vertical="center"/>
      <protection hidden="1"/>
    </xf>
    <xf numFmtId="0" fontId="2" fillId="2" borderId="34" xfId="0" applyFont="1" applyFill="1" applyBorder="1" applyAlignment="1" applyProtection="1">
      <alignment horizontal="left" vertical="center"/>
      <protection hidden="1"/>
    </xf>
    <xf numFmtId="0" fontId="0" fillId="2" borderId="51" xfId="0" applyFill="1" applyBorder="1" applyAlignment="1" applyProtection="1">
      <alignment horizontal="left"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1" fillId="0" borderId="0" xfId="0" applyFont="1" applyAlignment="1" applyProtection="1">
      <alignment vertical="top" wrapText="1"/>
      <protection hidden="1"/>
    </xf>
    <xf numFmtId="0" fontId="1" fillId="0" borderId="0" xfId="0" applyFont="1" applyAlignment="1" applyProtection="1">
      <alignment horizontal="left"/>
      <protection hidden="1"/>
    </xf>
    <xf numFmtId="0" fontId="4" fillId="0" borderId="0" xfId="0" applyFont="1" applyAlignment="1" applyProtection="1">
      <alignment horizontal="left"/>
      <protection hidden="1"/>
    </xf>
    <xf numFmtId="44" fontId="2" fillId="2" borderId="54" xfId="3" applyFont="1" applyFill="1" applyBorder="1" applyAlignment="1" applyProtection="1">
      <alignment horizontal="center" vertical="center"/>
      <protection hidden="1"/>
    </xf>
    <xf numFmtId="44" fontId="2" fillId="2" borderId="55" xfId="3" applyFont="1" applyFill="1" applyBorder="1" applyAlignment="1" applyProtection="1">
      <alignment horizontal="center" vertical="center"/>
      <protection hidden="1"/>
    </xf>
    <xf numFmtId="44" fontId="11" fillId="7" borderId="50" xfId="0" applyNumberFormat="1" applyFont="1" applyFill="1" applyBorder="1" applyAlignment="1" applyProtection="1">
      <alignment horizontal="center" vertical="center"/>
      <protection locked="0" hidden="1"/>
    </xf>
    <xf numFmtId="44" fontId="11" fillId="7" borderId="4" xfId="0" applyNumberFormat="1" applyFont="1" applyFill="1" applyBorder="1" applyAlignment="1" applyProtection="1">
      <alignment horizontal="center" vertical="center"/>
      <protection locked="0" hidden="1"/>
    </xf>
    <xf numFmtId="44" fontId="11" fillId="3" borderId="7" xfId="0" applyNumberFormat="1" applyFont="1" applyFill="1" applyBorder="1" applyAlignment="1" applyProtection="1">
      <alignment horizontal="center" vertical="center"/>
      <protection locked="0" hidden="1"/>
    </xf>
    <xf numFmtId="44" fontId="11" fillId="3" borderId="1" xfId="0" applyNumberFormat="1" applyFont="1" applyFill="1" applyBorder="1" applyAlignment="1" applyProtection="1">
      <alignment horizontal="center" vertical="center"/>
      <protection locked="0" hidden="1"/>
    </xf>
    <xf numFmtId="44" fontId="11" fillId="7" borderId="21" xfId="0" applyNumberFormat="1" applyFont="1" applyFill="1" applyBorder="1" applyAlignment="1" applyProtection="1">
      <alignment horizontal="center" vertical="center"/>
      <protection locked="0" hidden="1"/>
    </xf>
    <xf numFmtId="44" fontId="11" fillId="7" borderId="48" xfId="0" applyNumberFormat="1" applyFont="1" applyFill="1" applyBorder="1" applyAlignment="1" applyProtection="1">
      <alignment horizontal="center" vertical="center"/>
      <protection locked="0" hidden="1"/>
    </xf>
    <xf numFmtId="0" fontId="6" fillId="0" borderId="28" xfId="0" applyFont="1" applyBorder="1" applyAlignment="1" applyProtection="1">
      <alignment horizontal="center" vertical="center" wrapText="1"/>
      <protection hidden="1"/>
    </xf>
    <xf numFmtId="44" fontId="11" fillId="0" borderId="21" xfId="0" applyNumberFormat="1" applyFont="1" applyBorder="1" applyAlignment="1" applyProtection="1">
      <alignment horizontal="center" vertical="center"/>
      <protection locked="0" hidden="1"/>
    </xf>
    <xf numFmtId="44" fontId="11" fillId="0" borderId="20" xfId="0" applyNumberFormat="1" applyFont="1" applyBorder="1" applyAlignment="1" applyProtection="1">
      <alignment horizontal="center" vertical="center"/>
      <protection locked="0" hidden="1"/>
    </xf>
    <xf numFmtId="44" fontId="11" fillId="3" borderId="12" xfId="0" applyNumberFormat="1" applyFont="1" applyFill="1" applyBorder="1" applyAlignment="1" applyProtection="1">
      <alignment horizontal="center" vertical="center"/>
      <protection locked="0" hidden="1"/>
    </xf>
    <xf numFmtId="0" fontId="12" fillId="0" borderId="43" xfId="0" applyFont="1" applyBorder="1" applyAlignment="1">
      <alignment horizontal="right"/>
    </xf>
    <xf numFmtId="0" fontId="12" fillId="0" borderId="34" xfId="0" applyFont="1" applyBorder="1" applyAlignment="1" applyProtection="1">
      <alignment horizontal="right"/>
      <protection hidden="1"/>
    </xf>
    <xf numFmtId="44" fontId="2" fillId="2" borderId="52" xfId="3" applyFont="1" applyFill="1" applyBorder="1" applyAlignment="1" applyProtection="1">
      <alignment horizontal="center" vertical="center"/>
      <protection hidden="1"/>
    </xf>
    <xf numFmtId="44" fontId="2" fillId="2" borderId="51" xfId="3" applyFont="1" applyFill="1" applyBorder="1" applyAlignment="1" applyProtection="1">
      <alignment horizontal="center" vertical="center"/>
      <protection hidden="1"/>
    </xf>
    <xf numFmtId="0" fontId="12" fillId="0" borderId="43" xfId="0" applyFont="1" applyBorder="1" applyAlignment="1" applyProtection="1">
      <alignment horizontal="right"/>
      <protection hidden="1"/>
    </xf>
    <xf numFmtId="0" fontId="0" fillId="0" borderId="0" xfId="0" applyAlignment="1" applyProtection="1">
      <alignment horizontal="center"/>
      <protection hidden="1"/>
    </xf>
    <xf numFmtId="0" fontId="0" fillId="0" borderId="42" xfId="0" applyBorder="1" applyAlignment="1">
      <alignment horizontal="center"/>
    </xf>
    <xf numFmtId="44" fontId="2" fillId="2" borderId="9" xfId="3" applyFont="1" applyFill="1" applyBorder="1" applyAlignment="1" applyProtection="1">
      <alignment horizontal="center" vertical="center"/>
      <protection hidden="1"/>
    </xf>
    <xf numFmtId="164" fontId="0" fillId="13" borderId="31" xfId="0" applyNumberFormat="1" applyFill="1" applyBorder="1" applyAlignment="1">
      <alignment horizontal="center"/>
    </xf>
    <xf numFmtId="164" fontId="0" fillId="13" borderId="33" xfId="0" applyNumberForma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164" fontId="0" fillId="12" borderId="3" xfId="0" applyNumberFormat="1" applyFill="1" applyBorder="1" applyAlignment="1">
      <alignment horizontal="center"/>
    </xf>
    <xf numFmtId="164" fontId="0" fillId="12" borderId="4" xfId="0" applyNumberFormat="1" applyFill="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2" fillId="0" borderId="29" xfId="0" applyFont="1" applyBorder="1" applyAlignment="1">
      <alignment horizontal="left" vertical="top"/>
    </xf>
    <xf numFmtId="0" fontId="2" fillId="0" borderId="30" xfId="0" applyFont="1" applyBorder="1" applyAlignment="1">
      <alignment horizontal="left" vertical="top"/>
    </xf>
    <xf numFmtId="0" fontId="6" fillId="0" borderId="36" xfId="0" applyFont="1" applyBorder="1" applyAlignment="1">
      <alignment horizontal="center"/>
    </xf>
    <xf numFmtId="0" fontId="6" fillId="0" borderId="39" xfId="0" applyFont="1" applyBorder="1" applyAlignment="1">
      <alignment horizontal="center"/>
    </xf>
    <xf numFmtId="164" fontId="0" fillId="9" borderId="40" xfId="0" applyNumberFormat="1" applyFill="1" applyBorder="1" applyAlignment="1">
      <alignment horizontal="center"/>
    </xf>
    <xf numFmtId="164" fontId="0" fillId="9" borderId="41" xfId="0" applyNumberFormat="1" applyFill="1" applyBorder="1" applyAlignment="1">
      <alignment horizontal="center"/>
    </xf>
    <xf numFmtId="164" fontId="0" fillId="15" borderId="31" xfId="0" applyNumberFormat="1" applyFill="1" applyBorder="1" applyAlignment="1">
      <alignment horizontal="center"/>
    </xf>
    <xf numFmtId="164" fontId="0" fillId="15" borderId="33" xfId="0" applyNumberFormat="1"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13" borderId="29" xfId="0" applyNumberFormat="1" applyFill="1" applyBorder="1" applyAlignment="1">
      <alignment horizontal="center"/>
    </xf>
    <xf numFmtId="164" fontId="0" fillId="13" borderId="30" xfId="0" applyNumberForma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8" xfId="0" quotePrefix="1" applyBorder="1" applyAlignment="1">
      <alignment horizontal="center"/>
    </xf>
    <xf numFmtId="0" fontId="0" fillId="0" borderId="34" xfId="0" quotePrefix="1" applyBorder="1" applyAlignment="1">
      <alignment horizontal="center"/>
    </xf>
    <xf numFmtId="0" fontId="0" fillId="0" borderId="9" xfId="0" quotePrefix="1" applyBorder="1" applyAlignment="1">
      <alignment horizontal="center"/>
    </xf>
    <xf numFmtId="0" fontId="22" fillId="0" borderId="26" xfId="0" applyFont="1" applyBorder="1" applyAlignment="1">
      <alignment horizontal="left" vertical="center"/>
    </xf>
    <xf numFmtId="0" fontId="22" fillId="0" borderId="28" xfId="0" applyFont="1" applyBorder="1" applyAlignment="1">
      <alignment horizontal="left" vertical="center"/>
    </xf>
    <xf numFmtId="164" fontId="23" fillId="9" borderId="29" xfId="1" applyNumberFormat="1" applyFont="1" applyFill="1" applyBorder="1" applyAlignment="1" applyProtection="1">
      <alignment horizontal="center" vertical="center"/>
      <protection hidden="1"/>
    </xf>
    <xf numFmtId="164" fontId="23" fillId="9" borderId="30" xfId="1" applyNumberFormat="1" applyFont="1" applyFill="1" applyBorder="1" applyAlignment="1" applyProtection="1">
      <alignment horizontal="center" vertical="center"/>
      <protection hidden="1"/>
    </xf>
    <xf numFmtId="164" fontId="0" fillId="16" borderId="29" xfId="0" applyNumberFormat="1" applyFill="1" applyBorder="1" applyAlignment="1">
      <alignment horizontal="center"/>
    </xf>
    <xf numFmtId="164" fontId="0" fillId="16" borderId="30" xfId="0" applyNumberFormat="1" applyFill="1" applyBorder="1" applyAlignment="1">
      <alignment horizontal="center"/>
    </xf>
    <xf numFmtId="0" fontId="2" fillId="0" borderId="8" xfId="0" applyFont="1"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 fillId="0" borderId="29" xfId="0" applyFont="1" applyBorder="1" applyAlignment="1">
      <alignment horizontal="left"/>
    </xf>
    <xf numFmtId="0" fontId="2" fillId="0" borderId="30" xfId="0" applyFont="1" applyBorder="1" applyAlignment="1">
      <alignment horizontal="left"/>
    </xf>
    <xf numFmtId="164" fontId="0" fillId="12" borderId="29" xfId="0" applyNumberFormat="1" applyFill="1" applyBorder="1" applyAlignment="1">
      <alignment horizontal="center"/>
    </xf>
    <xf numFmtId="164" fontId="0" fillId="12" borderId="30" xfId="0" applyNumberFormat="1" applyFill="1" applyBorder="1" applyAlignment="1">
      <alignment horizontal="center"/>
    </xf>
    <xf numFmtId="0" fontId="19" fillId="0" borderId="36" xfId="0" applyFont="1" applyBorder="1" applyAlignment="1">
      <alignment horizontal="center"/>
    </xf>
    <xf numFmtId="0" fontId="19" fillId="0" borderId="39"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2" fillId="17" borderId="0" xfId="0" applyFont="1" applyFill="1" applyAlignment="1" applyProtection="1">
      <alignment horizontal="center" vertical="center" wrapText="1"/>
      <protection hidden="1"/>
    </xf>
    <xf numFmtId="0" fontId="1" fillId="3" borderId="0" xfId="0" applyFont="1" applyFill="1" applyAlignment="1" applyProtection="1">
      <alignment horizontal="left"/>
      <protection hidden="1"/>
    </xf>
    <xf numFmtId="0" fontId="0" fillId="3" borderId="0" xfId="0" applyFill="1" applyAlignment="1" applyProtection="1">
      <alignment horizontal="left"/>
      <protection hidden="1"/>
    </xf>
    <xf numFmtId="0" fontId="8" fillId="3" borderId="0" xfId="0" applyFont="1" applyFill="1" applyAlignment="1" applyProtection="1">
      <alignment horizontal="center" vertical="center" wrapText="1"/>
      <protection hidden="1"/>
    </xf>
    <xf numFmtId="10" fontId="17" fillId="2" borderId="0" xfId="0" applyNumberFormat="1" applyFont="1" applyFill="1" applyAlignment="1" applyProtection="1">
      <alignment horizontal="center" vertical="center"/>
      <protection hidden="1"/>
    </xf>
  </cellXfs>
  <cellStyles count="7">
    <cellStyle name="Currency" xfId="1" builtinId="4"/>
    <cellStyle name="Currency 2" xfId="3" xr:uid="{F11DCAA3-64F8-42F7-8C50-8887468F01D8}"/>
    <cellStyle name="Currency 2 2" xfId="6" xr:uid="{BDE587A8-CB0C-40BC-B6A9-23591E1B560D}"/>
    <cellStyle name="Currency 3" xfId="5" xr:uid="{974A1066-60D0-487E-88D8-C2395C924ECE}"/>
    <cellStyle name="Normal" xfId="0" builtinId="0"/>
    <cellStyle name="Normal 2" xfId="4" xr:uid="{16CB5F94-DC72-4851-8B53-8BC5D21B7A09}"/>
    <cellStyle name="Per cent" xfId="2" builtinId="5"/>
  </cellStyles>
  <dxfs count="0"/>
  <tableStyles count="0" defaultTableStyle="TableStyleMedium2" defaultPivotStyle="PivotStyleLight16"/>
  <colors>
    <mruColors>
      <color rgb="FFFFFF99"/>
      <color rgb="FF417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598421</xdr:colOff>
      <xdr:row>1</xdr:row>
      <xdr:rowOff>45665</xdr:rowOff>
    </xdr:from>
    <xdr:to>
      <xdr:col>10</xdr:col>
      <xdr:colOff>911497</xdr:colOff>
      <xdr:row>3</xdr:row>
      <xdr:rowOff>187417</xdr:rowOff>
    </xdr:to>
    <xdr:pic>
      <xdr:nvPicPr>
        <xdr:cNvPr id="3" name="Picture 2">
          <a:extLst>
            <a:ext uri="{FF2B5EF4-FFF2-40B4-BE49-F238E27FC236}">
              <a16:creationId xmlns:a16="http://schemas.microsoft.com/office/drawing/2014/main" id="{F99E68E5-BBED-1433-9608-7CDA0FBA0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362" y="202547"/>
          <a:ext cx="1127370" cy="505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Nathan%20Palfreyman\Calculators\Affordability%20calculator\Affordability%20calculator%20-%2010-2-2018%20-%20Unlocked.xls" TargetMode="External"/><Relationship Id="rId1" Type="http://schemas.openxmlformats.org/officeDocument/2006/relationships/externalLinkPath" Target="file:///\\Tip-files1\tcbs\Nathan%20Palfreyman\Calculators\Affordability%20calculator\Affordability%20calculator%20-%2010-2-2018%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arameters"/>
      <sheetName val="LTI Calc"/>
    </sheetNames>
    <sheetDataSet>
      <sheetData sheetId="0">
        <row r="33">
          <cell r="J33">
            <v>3750</v>
          </cell>
        </row>
        <row r="36">
          <cell r="J36">
            <v>604.5</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9"/>
  <sheetViews>
    <sheetView showGridLines="0" tabSelected="1" zoomScale="85" zoomScaleNormal="85" workbookViewId="0">
      <selection activeCell="E23" sqref="E23:K23"/>
    </sheetView>
  </sheetViews>
  <sheetFormatPr defaultColWidth="9.109375" defaultRowHeight="13.2" x14ac:dyDescent="0.25"/>
  <cols>
    <col min="1" max="1" width="2.88671875" style="13" customWidth="1"/>
    <col min="2" max="2" width="9.88671875" style="13" customWidth="1"/>
    <col min="3" max="3" width="10.21875" style="13" customWidth="1"/>
    <col min="4" max="4" width="18.44140625" style="13" customWidth="1"/>
    <col min="5" max="8" width="15.109375" style="13" customWidth="1"/>
    <col min="9" max="9" width="2" style="13" customWidth="1"/>
    <col min="10" max="10" width="11.6640625" style="13" customWidth="1"/>
    <col min="11" max="11" width="13.6640625" style="13" customWidth="1"/>
    <col min="12" max="12" width="3" style="13" customWidth="1"/>
    <col min="13" max="17" width="11.109375" style="13" customWidth="1"/>
    <col min="18" max="16384" width="9.109375" style="13"/>
  </cols>
  <sheetData>
    <row r="1" spans="2:11" x14ac:dyDescent="0.25">
      <c r="K1" s="105" t="s">
        <v>190</v>
      </c>
    </row>
    <row r="2" spans="2:11" ht="16.05" customHeight="1" x14ac:dyDescent="0.25">
      <c r="B2" s="193" t="s">
        <v>183</v>
      </c>
      <c r="C2" s="193"/>
      <c r="D2" s="193"/>
      <c r="E2" s="193"/>
      <c r="F2" s="193"/>
      <c r="G2" s="193"/>
      <c r="H2" s="193"/>
      <c r="I2" s="193"/>
      <c r="J2" s="193"/>
      <c r="K2" s="193"/>
    </row>
    <row r="3" spans="2:11" ht="15" customHeight="1" x14ac:dyDescent="0.25">
      <c r="B3" s="193"/>
      <c r="C3" s="193"/>
      <c r="D3" s="193"/>
      <c r="E3" s="193"/>
      <c r="F3" s="193"/>
      <c r="G3" s="193"/>
      <c r="H3" s="193"/>
      <c r="I3" s="193"/>
      <c r="J3" s="193"/>
      <c r="K3" s="193"/>
    </row>
    <row r="4" spans="2:11" ht="15.45" customHeight="1" x14ac:dyDescent="0.25">
      <c r="B4" s="193"/>
      <c r="C4" s="193"/>
      <c r="D4" s="193"/>
      <c r="E4" s="193"/>
      <c r="F4" s="193"/>
      <c r="G4" s="193"/>
      <c r="H4" s="193"/>
      <c r="I4" s="193"/>
      <c r="J4" s="193"/>
      <c r="K4" s="193"/>
    </row>
    <row r="5" spans="2:11" ht="9.4499999999999993" customHeight="1" x14ac:dyDescent="0.25">
      <c r="B5" s="56"/>
      <c r="C5" s="56"/>
      <c r="D5" s="56"/>
      <c r="E5" s="56"/>
      <c r="F5" s="56"/>
      <c r="G5" s="56"/>
      <c r="H5" s="56"/>
    </row>
    <row r="6" spans="2:11" ht="15" customHeight="1" x14ac:dyDescent="0.25">
      <c r="B6" s="209" t="s">
        <v>176</v>
      </c>
      <c r="C6" s="209"/>
      <c r="D6" s="209"/>
      <c r="E6" s="209"/>
      <c r="F6" s="209"/>
      <c r="G6" s="209"/>
      <c r="H6" s="209"/>
      <c r="I6" s="209"/>
      <c r="J6" s="209"/>
      <c r="K6" s="209"/>
    </row>
    <row r="7" spans="2:11" ht="9.4499999999999993" customHeight="1" x14ac:dyDescent="0.25">
      <c r="B7" s="209"/>
      <c r="C7" s="209"/>
      <c r="D7" s="209"/>
      <c r="E7" s="209"/>
      <c r="F7" s="209"/>
      <c r="G7" s="209"/>
      <c r="H7" s="209"/>
      <c r="I7" s="209"/>
      <c r="J7" s="209"/>
      <c r="K7" s="209"/>
    </row>
    <row r="8" spans="2:11" customFormat="1" ht="9.4499999999999993" customHeight="1" x14ac:dyDescent="0.25"/>
    <row r="9" spans="2:11" ht="46.2" customHeight="1" x14ac:dyDescent="0.25">
      <c r="B9" s="36"/>
      <c r="C9" s="36"/>
      <c r="D9" s="122" t="s">
        <v>98</v>
      </c>
      <c r="E9" s="122" t="s">
        <v>177</v>
      </c>
      <c r="F9" s="123" t="s">
        <v>178</v>
      </c>
      <c r="G9" s="123" t="s">
        <v>179</v>
      </c>
      <c r="H9" s="122" t="s">
        <v>77</v>
      </c>
      <c r="J9" s="194" t="s">
        <v>99</v>
      </c>
      <c r="K9" s="195"/>
    </row>
    <row r="10" spans="2:11" ht="12.45" customHeight="1" x14ac:dyDescent="0.25">
      <c r="B10" s="198" t="s">
        <v>92</v>
      </c>
      <c r="C10" s="199"/>
      <c r="D10" s="206"/>
      <c r="E10" s="196">
        <v>0</v>
      </c>
      <c r="F10" s="196">
        <v>0</v>
      </c>
      <c r="G10" s="204">
        <v>0</v>
      </c>
      <c r="H10" s="202">
        <f>IF(_App1&lt;&gt;"", (G10/2)+E10+F10, 0)</f>
        <v>0</v>
      </c>
      <c r="J10" s="208">
        <f>H10+H12+H14+H16</f>
        <v>0</v>
      </c>
      <c r="K10" s="208"/>
    </row>
    <row r="11" spans="2:11" ht="12.45" customHeight="1" x14ac:dyDescent="0.25">
      <c r="B11" s="200"/>
      <c r="C11" s="201"/>
      <c r="D11" s="207"/>
      <c r="E11" s="197"/>
      <c r="F11" s="197"/>
      <c r="G11" s="205"/>
      <c r="H11" s="203"/>
      <c r="J11" s="208"/>
      <c r="K11" s="208"/>
    </row>
    <row r="12" spans="2:11" x14ac:dyDescent="0.25">
      <c r="B12" s="198" t="s">
        <v>93</v>
      </c>
      <c r="C12" s="199"/>
      <c r="D12" s="206"/>
      <c r="E12" s="196">
        <v>0</v>
      </c>
      <c r="F12" s="196">
        <v>0</v>
      </c>
      <c r="G12" s="204">
        <v>0</v>
      </c>
      <c r="H12" s="202">
        <f>IF(_App2&lt;&gt;"", (G12/2)+E12+F12,0)</f>
        <v>0</v>
      </c>
      <c r="J12" s="176" t="s">
        <v>153</v>
      </c>
      <c r="K12" s="177"/>
    </row>
    <row r="13" spans="2:11" ht="12.45" customHeight="1" x14ac:dyDescent="0.25">
      <c r="B13" s="200"/>
      <c r="C13" s="201"/>
      <c r="D13" s="207"/>
      <c r="E13" s="197"/>
      <c r="F13" s="197"/>
      <c r="G13" s="205"/>
      <c r="H13" s="203"/>
      <c r="J13" s="178"/>
      <c r="K13" s="179"/>
    </row>
    <row r="14" spans="2:11" ht="12.45" customHeight="1" x14ac:dyDescent="0.25">
      <c r="B14" s="198" t="s">
        <v>94</v>
      </c>
      <c r="C14" s="199"/>
      <c r="D14" s="206"/>
      <c r="E14" s="196">
        <v>0</v>
      </c>
      <c r="F14" s="196">
        <v>0</v>
      </c>
      <c r="G14" s="204">
        <v>0</v>
      </c>
      <c r="H14" s="202">
        <f>IF(_App3&lt;&gt;"", (G14/2)+E14+F14,0)</f>
        <v>0</v>
      </c>
      <c r="J14" s="182">
        <f>MaxLoanMult</f>
        <v>0</v>
      </c>
      <c r="K14" s="182"/>
    </row>
    <row r="15" spans="2:11" ht="12.45" customHeight="1" x14ac:dyDescent="0.25">
      <c r="B15" s="200"/>
      <c r="C15" s="201"/>
      <c r="D15" s="207"/>
      <c r="E15" s="197"/>
      <c r="F15" s="197"/>
      <c r="G15" s="205"/>
      <c r="H15" s="203"/>
      <c r="J15" s="182"/>
      <c r="K15" s="182"/>
    </row>
    <row r="16" spans="2:11" ht="12.45" customHeight="1" x14ac:dyDescent="0.25">
      <c r="B16" s="198" t="s">
        <v>95</v>
      </c>
      <c r="C16" s="199"/>
      <c r="D16" s="206"/>
      <c r="E16" s="196">
        <v>0</v>
      </c>
      <c r="F16" s="196">
        <v>0</v>
      </c>
      <c r="G16" s="204">
        <v>0</v>
      </c>
      <c r="H16" s="202">
        <f>IF(_App4&lt;&gt;"", (G16/2)+E16+F16, 0)</f>
        <v>0</v>
      </c>
      <c r="J16" s="183" t="s">
        <v>154</v>
      </c>
      <c r="K16" s="184"/>
    </row>
    <row r="17" spans="1:17" ht="12.45" customHeight="1" x14ac:dyDescent="0.25">
      <c r="B17" s="200"/>
      <c r="C17" s="201"/>
      <c r="D17" s="207"/>
      <c r="E17" s="197"/>
      <c r="F17" s="197"/>
      <c r="G17" s="205"/>
      <c r="H17" s="203"/>
      <c r="J17" s="183"/>
      <c r="K17" s="184"/>
    </row>
    <row r="18" spans="1:17" ht="6" customHeight="1" x14ac:dyDescent="0.25">
      <c r="B18" s="37"/>
      <c r="C18" s="37"/>
      <c r="D18" s="162"/>
      <c r="E18" s="163"/>
      <c r="F18" s="163"/>
      <c r="G18" s="39"/>
      <c r="H18" s="39"/>
      <c r="J18" s="183"/>
      <c r="K18" s="184"/>
    </row>
    <row r="19" spans="1:17" ht="26.55" customHeight="1" x14ac:dyDescent="0.25">
      <c r="B19" s="233" t="s">
        <v>9</v>
      </c>
      <c r="C19" s="233"/>
      <c r="D19" s="233"/>
      <c r="E19" s="173">
        <v>0</v>
      </c>
      <c r="F19" s="173"/>
      <c r="G19" s="173"/>
      <c r="H19" s="174"/>
      <c r="I19" s="128"/>
      <c r="J19" s="185"/>
      <c r="K19" s="186"/>
    </row>
    <row r="20" spans="1:17" ht="6.6" customHeight="1" x14ac:dyDescent="0.25">
      <c r="B20" s="55"/>
      <c r="C20" s="52"/>
      <c r="D20" s="164"/>
      <c r="F20" s="164"/>
      <c r="G20" s="37"/>
      <c r="H20" s="164"/>
      <c r="J20" s="37"/>
      <c r="K20" s="165"/>
    </row>
    <row r="21" spans="1:17" ht="25.05" hidden="1" customHeight="1" x14ac:dyDescent="0.25">
      <c r="B21" s="233" t="s">
        <v>78</v>
      </c>
      <c r="C21" s="233"/>
      <c r="D21" s="233"/>
      <c r="E21" s="187"/>
      <c r="F21" s="187"/>
      <c r="G21" s="187"/>
      <c r="H21" s="187"/>
      <c r="I21" s="187"/>
      <c r="J21" s="187"/>
      <c r="K21" s="187"/>
    </row>
    <row r="22" spans="1:17" ht="6.75" hidden="1" customHeight="1" x14ac:dyDescent="0.25">
      <c r="B22" s="23"/>
      <c r="C22" s="20"/>
      <c r="D22" s="20"/>
      <c r="E22" s="20"/>
      <c r="F22" s="20"/>
      <c r="G22" s="20"/>
      <c r="H22" s="20"/>
      <c r="J22" s="20"/>
      <c r="K22" s="20"/>
    </row>
    <row r="23" spans="1:17" ht="27" customHeight="1" x14ac:dyDescent="0.25">
      <c r="A23" s="24" t="s">
        <v>47</v>
      </c>
      <c r="B23" s="180" t="s">
        <v>96</v>
      </c>
      <c r="C23" s="180"/>
      <c r="D23" s="224"/>
      <c r="E23" s="228" t="s">
        <v>188</v>
      </c>
      <c r="F23" s="228"/>
      <c r="G23" s="228"/>
      <c r="H23" s="228"/>
      <c r="I23" s="228"/>
      <c r="J23" s="228"/>
      <c r="K23" s="228"/>
      <c r="L23" s="20"/>
      <c r="M23" s="25"/>
      <c r="N23" s="25"/>
    </row>
    <row r="24" spans="1:17" ht="6.45" customHeight="1" x14ac:dyDescent="0.25"/>
    <row r="25" spans="1:17" ht="15.45" customHeight="1" x14ac:dyDescent="0.25">
      <c r="B25" s="224" t="s">
        <v>2</v>
      </c>
      <c r="C25" s="227"/>
      <c r="D25" s="50" t="s">
        <v>79</v>
      </c>
      <c r="E25" s="51" t="s">
        <v>53</v>
      </c>
      <c r="F25" s="140" t="s">
        <v>80</v>
      </c>
      <c r="G25" s="51" t="s">
        <v>127</v>
      </c>
      <c r="H25" s="51" t="s">
        <v>10</v>
      </c>
      <c r="I25" s="180" t="s">
        <v>149</v>
      </c>
      <c r="J25" s="180"/>
      <c r="K25" s="180"/>
      <c r="N25"/>
      <c r="O25"/>
    </row>
    <row r="26" spans="1:17" ht="18" customHeight="1" x14ac:dyDescent="0.25">
      <c r="B26" s="216">
        <v>0</v>
      </c>
      <c r="C26" s="217"/>
      <c r="D26" s="57">
        <v>0</v>
      </c>
      <c r="E26" s="169">
        <v>0</v>
      </c>
      <c r="F26" s="170">
        <v>0</v>
      </c>
      <c r="G26" s="167">
        <f>ROUND(IF(D26&lt;&gt;0, IF(LoanAmount&lt;&gt;0,  IF((LoanAmount/D26) &gt; 1, 1, (LoanAmount/D26)), 0), 0), 4)</f>
        <v>0</v>
      </c>
      <c r="H26" s="166">
        <v>7.8399999999999997E-2</v>
      </c>
      <c r="I26" s="181" t="s">
        <v>160</v>
      </c>
      <c r="J26" s="181"/>
      <c r="K26" s="181"/>
      <c r="N26" s="139"/>
      <c r="O26" s="139"/>
    </row>
    <row r="27" spans="1:17" ht="18" customHeight="1" x14ac:dyDescent="0.25">
      <c r="B27" s="171"/>
      <c r="C27" s="171"/>
      <c r="D27" s="172"/>
      <c r="E27" s="192" t="s">
        <v>187</v>
      </c>
      <c r="F27" s="192"/>
      <c r="G27" s="192"/>
      <c r="H27" s="192"/>
      <c r="I27" s="192"/>
      <c r="J27" s="192"/>
      <c r="K27" s="192"/>
      <c r="N27" s="139"/>
      <c r="O27" s="139"/>
    </row>
    <row r="28" spans="1:17" ht="11.4" customHeight="1" x14ac:dyDescent="0.25"/>
    <row r="29" spans="1:17" ht="16.5" customHeight="1" x14ac:dyDescent="0.25">
      <c r="B29" s="225" t="s">
        <v>169</v>
      </c>
      <c r="C29" s="225"/>
      <c r="D29" s="225"/>
      <c r="E29" s="225"/>
      <c r="F29" s="41"/>
      <c r="G29" s="229" t="s">
        <v>158</v>
      </c>
      <c r="H29" s="229"/>
      <c r="I29" s="229"/>
      <c r="J29" s="229"/>
      <c r="K29" s="229"/>
      <c r="M29"/>
      <c r="N29"/>
      <c r="O29"/>
      <c r="P29"/>
      <c r="Q29"/>
    </row>
    <row r="30" spans="1:17" ht="13.8" x14ac:dyDescent="0.25">
      <c r="B30" s="226"/>
      <c r="C30" s="226"/>
      <c r="D30" s="226"/>
      <c r="E30" s="226"/>
      <c r="F30" s="14"/>
      <c r="G30" s="229"/>
      <c r="H30" s="229"/>
      <c r="I30" s="229"/>
      <c r="J30" s="229"/>
      <c r="K30" s="229"/>
      <c r="M30"/>
      <c r="N30"/>
      <c r="O30"/>
      <c r="P30"/>
      <c r="Q30"/>
    </row>
    <row r="31" spans="1:17" ht="14.25" customHeight="1" x14ac:dyDescent="0.25">
      <c r="B31" s="220" t="s">
        <v>49</v>
      </c>
      <c r="C31" s="220"/>
      <c r="D31" s="220"/>
      <c r="E31" s="27">
        <v>0</v>
      </c>
      <c r="G31" s="230" t="s">
        <v>155</v>
      </c>
      <c r="H31" s="230"/>
      <c r="I31" s="230"/>
      <c r="J31" s="230"/>
      <c r="K31" s="230"/>
      <c r="M31"/>
      <c r="N31"/>
      <c r="O31"/>
      <c r="P31"/>
      <c r="Q31"/>
    </row>
    <row r="32" spans="1:17" ht="14.25" customHeight="1" x14ac:dyDescent="0.25">
      <c r="B32" s="220" t="s">
        <v>50</v>
      </c>
      <c r="C32" s="220"/>
      <c r="D32" s="220"/>
      <c r="E32" s="27">
        <v>0</v>
      </c>
      <c r="G32" s="230"/>
      <c r="H32" s="230"/>
      <c r="I32" s="230"/>
      <c r="J32" s="230"/>
      <c r="K32" s="230"/>
      <c r="M32"/>
      <c r="N32"/>
      <c r="O32"/>
      <c r="P32"/>
      <c r="Q32"/>
    </row>
    <row r="33" spans="2:24" ht="14.25" customHeight="1" x14ac:dyDescent="0.25">
      <c r="B33" s="223" t="s">
        <v>81</v>
      </c>
      <c r="C33" s="220"/>
      <c r="D33" s="220"/>
      <c r="E33" s="27">
        <v>0</v>
      </c>
      <c r="G33" s="231" t="str">
        <f>IF(Income&lt;=0, "Enter Income",IF(AND(Income&lt;&gt;"", DisposableIncomePercentage &gt;= 0), RealFinalAmount, "Requested Loan Unaffordable – refer to grey box below"))</f>
        <v>Enter Income</v>
      </c>
      <c r="H33" s="231"/>
      <c r="I33" s="231"/>
      <c r="J33" s="231"/>
      <c r="K33" s="231"/>
      <c r="M33" s="58"/>
      <c r="N33"/>
      <c r="O33"/>
      <c r="P33"/>
      <c r="Q33"/>
    </row>
    <row r="34" spans="2:24" ht="14.25" customHeight="1" x14ac:dyDescent="0.25">
      <c r="B34" s="223" t="s">
        <v>82</v>
      </c>
      <c r="C34" s="220"/>
      <c r="D34" s="220"/>
      <c r="E34" s="27">
        <v>0</v>
      </c>
      <c r="G34" s="231"/>
      <c r="H34" s="231"/>
      <c r="I34" s="231"/>
      <c r="J34" s="231"/>
      <c r="K34" s="231"/>
      <c r="M34"/>
      <c r="N34"/>
      <c r="O34" s="58"/>
      <c r="P34"/>
      <c r="Q34"/>
    </row>
    <row r="35" spans="2:24" ht="14.25" customHeight="1" x14ac:dyDescent="0.25">
      <c r="B35" s="223" t="s">
        <v>119</v>
      </c>
      <c r="C35" s="220"/>
      <c r="D35" s="220"/>
      <c r="E35" s="53">
        <v>0</v>
      </c>
      <c r="G35" s="231"/>
      <c r="H35" s="231"/>
      <c r="I35" s="231"/>
      <c r="J35" s="231"/>
      <c r="K35" s="231"/>
      <c r="M35"/>
      <c r="N35"/>
      <c r="O35"/>
      <c r="P35"/>
      <c r="Q35"/>
    </row>
    <row r="36" spans="2:24" ht="14.25" customHeight="1" x14ac:dyDescent="0.25">
      <c r="B36" s="223" t="s">
        <v>11</v>
      </c>
      <c r="C36" s="220"/>
      <c r="D36" s="220"/>
      <c r="E36" s="53">
        <v>0</v>
      </c>
      <c r="G36" s="231"/>
      <c r="H36" s="231"/>
      <c r="I36" s="231"/>
      <c r="J36" s="231"/>
      <c r="K36" s="231"/>
      <c r="M36"/>
      <c r="N36"/>
      <c r="O36" s="58"/>
      <c r="P36"/>
      <c r="Q36"/>
    </row>
    <row r="37" spans="2:24" ht="14.25" customHeight="1" x14ac:dyDescent="0.25">
      <c r="B37" s="220" t="s">
        <v>12</v>
      </c>
      <c r="C37" s="220"/>
      <c r="D37" s="220"/>
      <c r="E37" s="53">
        <v>0</v>
      </c>
      <c r="G37" s="231"/>
      <c r="H37" s="231"/>
      <c r="I37" s="231"/>
      <c r="J37" s="231"/>
      <c r="K37" s="231"/>
      <c r="M37"/>
      <c r="N37"/>
      <c r="O37" s="58"/>
      <c r="P37"/>
      <c r="Q37"/>
    </row>
    <row r="38" spans="2:24" ht="14.25" customHeight="1" x14ac:dyDescent="0.25">
      <c r="B38" s="213" t="s">
        <v>89</v>
      </c>
      <c r="C38" s="214"/>
      <c r="D38" s="124"/>
      <c r="E38" s="27">
        <v>0</v>
      </c>
      <c r="G38" s="234" t="s">
        <v>126</v>
      </c>
      <c r="H38" s="234"/>
      <c r="I38" s="234"/>
      <c r="J38" s="234"/>
      <c r="K38" s="234"/>
      <c r="O38" s="168"/>
    </row>
    <row r="39" spans="2:24" ht="14.25" customHeight="1" x14ac:dyDescent="0.25">
      <c r="B39" s="221" t="s">
        <v>36</v>
      </c>
      <c r="C39" s="221"/>
      <c r="D39" s="221"/>
      <c r="E39" s="26">
        <f>SUM((E31:E34),(E35/2),(E36/2),(E37/2),E38)</f>
        <v>0</v>
      </c>
      <c r="G39" s="234"/>
      <c r="H39" s="234"/>
      <c r="I39" s="234"/>
      <c r="J39" s="234"/>
      <c r="K39" s="234"/>
    </row>
    <row r="40" spans="2:24" ht="13.8" customHeight="1" x14ac:dyDescent="0.25">
      <c r="F40" s="16"/>
      <c r="G40" s="232"/>
      <c r="H40" s="232"/>
      <c r="I40" s="232"/>
      <c r="J40" s="232"/>
      <c r="K40" s="232"/>
      <c r="N40"/>
      <c r="O40"/>
      <c r="P40"/>
      <c r="Q40"/>
    </row>
    <row r="41" spans="2:24" ht="15.45" customHeight="1" x14ac:dyDescent="0.25">
      <c r="B41" s="218" t="s">
        <v>147</v>
      </c>
      <c r="C41" s="218"/>
      <c r="D41" s="218"/>
      <c r="E41" s="218"/>
      <c r="G41" s="175"/>
      <c r="H41" s="175"/>
      <c r="I41" s="175"/>
      <c r="J41" s="175"/>
      <c r="K41" s="175"/>
      <c r="T41"/>
      <c r="U41"/>
      <c r="V41"/>
      <c r="W41"/>
      <c r="X41"/>
    </row>
    <row r="42" spans="2:24" ht="13.2" customHeight="1" x14ac:dyDescent="0.25">
      <c r="B42" s="219"/>
      <c r="C42" s="219"/>
      <c r="D42" s="219"/>
      <c r="E42" s="219"/>
      <c r="G42" s="175"/>
      <c r="H42" s="175"/>
      <c r="I42" s="175"/>
      <c r="J42" s="175"/>
      <c r="K42" s="175"/>
      <c r="T42"/>
      <c r="U42"/>
      <c r="V42"/>
      <c r="W42"/>
      <c r="X42"/>
    </row>
    <row r="43" spans="2:24" ht="14.25" customHeight="1" x14ac:dyDescent="0.25">
      <c r="B43" s="223" t="s">
        <v>42</v>
      </c>
      <c r="C43" s="223"/>
      <c r="D43" s="223"/>
      <c r="E43" s="27">
        <v>0</v>
      </c>
      <c r="G43" s="188" t="s">
        <v>180</v>
      </c>
      <c r="H43" s="188"/>
      <c r="I43" s="188"/>
      <c r="J43" s="188"/>
      <c r="K43" s="188"/>
      <c r="T43"/>
      <c r="U43"/>
      <c r="V43"/>
      <c r="W43"/>
      <c r="X43"/>
    </row>
    <row r="44" spans="2:24" ht="14.55" customHeight="1" x14ac:dyDescent="0.25">
      <c r="B44" s="215" t="s">
        <v>45</v>
      </c>
      <c r="C44" s="215"/>
      <c r="D44" s="215"/>
      <c r="E44" s="211">
        <f>CreditCardBalances*3%</f>
        <v>0</v>
      </c>
      <c r="G44" s="188"/>
      <c r="H44" s="188"/>
      <c r="I44" s="188"/>
      <c r="J44" s="188"/>
      <c r="K44" s="188"/>
      <c r="T44"/>
      <c r="U44"/>
      <c r="V44"/>
      <c r="W44"/>
      <c r="X44"/>
    </row>
    <row r="45" spans="2:24" ht="13.95" customHeight="1" x14ac:dyDescent="0.25">
      <c r="B45" s="215"/>
      <c r="C45" s="215"/>
      <c r="D45" s="215"/>
      <c r="E45" s="212"/>
      <c r="G45" s="188"/>
      <c r="H45" s="188"/>
      <c r="I45" s="188"/>
      <c r="J45" s="188"/>
      <c r="K45" s="188"/>
      <c r="T45"/>
      <c r="U45"/>
      <c r="V45"/>
      <c r="W45"/>
      <c r="X45"/>
    </row>
    <row r="46" spans="2:24" ht="14.25" customHeight="1" x14ac:dyDescent="0.25">
      <c r="B46" s="222" t="s">
        <v>74</v>
      </c>
      <c r="C46" s="222"/>
      <c r="D46" s="222"/>
      <c r="E46" s="27">
        <v>0</v>
      </c>
      <c r="G46" s="189">
        <f>ZeroPercentageMaxLoan</f>
        <v>0</v>
      </c>
      <c r="H46" s="189"/>
      <c r="I46" s="189"/>
      <c r="J46" s="189"/>
      <c r="K46" s="189"/>
      <c r="R46" s="142"/>
      <c r="S46" s="142"/>
      <c r="T46" s="142"/>
      <c r="U46" s="142"/>
      <c r="V46" s="142"/>
      <c r="W46" s="142"/>
    </row>
    <row r="47" spans="2:24" ht="14.25" customHeight="1" x14ac:dyDescent="0.25">
      <c r="B47" s="222" t="s">
        <v>74</v>
      </c>
      <c r="C47" s="222"/>
      <c r="D47" s="222"/>
      <c r="E47" s="27">
        <v>0</v>
      </c>
      <c r="G47" s="189"/>
      <c r="H47" s="189"/>
      <c r="I47" s="189"/>
      <c r="J47" s="189"/>
      <c r="K47" s="189"/>
      <c r="R47" s="142"/>
      <c r="S47" s="142"/>
      <c r="T47" s="142"/>
      <c r="U47" s="142"/>
      <c r="V47" s="142"/>
      <c r="W47" s="142"/>
    </row>
    <row r="48" spans="2:24" ht="14.25" customHeight="1" x14ac:dyDescent="0.25">
      <c r="B48" s="222" t="s">
        <v>74</v>
      </c>
      <c r="C48" s="222"/>
      <c r="D48" s="222"/>
      <c r="E48" s="27">
        <v>0</v>
      </c>
      <c r="G48" s="189"/>
      <c r="H48" s="189"/>
      <c r="I48" s="189"/>
      <c r="J48" s="189"/>
      <c r="K48" s="189"/>
      <c r="R48" s="142"/>
      <c r="S48" s="142"/>
      <c r="T48" s="142"/>
      <c r="U48" s="142"/>
      <c r="V48" s="142"/>
      <c r="W48" s="142"/>
    </row>
    <row r="49" spans="2:23" ht="14.25" customHeight="1" x14ac:dyDescent="0.25">
      <c r="B49" s="222" t="s">
        <v>74</v>
      </c>
      <c r="C49" s="222"/>
      <c r="D49" s="222"/>
      <c r="E49" s="27">
        <v>0</v>
      </c>
      <c r="G49" s="189"/>
      <c r="H49" s="189"/>
      <c r="I49" s="189"/>
      <c r="J49" s="189"/>
      <c r="K49" s="189"/>
      <c r="S49" s="142"/>
      <c r="T49" s="142"/>
      <c r="U49" s="142"/>
      <c r="V49" s="142"/>
      <c r="W49" s="142"/>
    </row>
    <row r="50" spans="2:23" ht="14.25" customHeight="1" x14ac:dyDescent="0.25">
      <c r="B50" s="222" t="s">
        <v>74</v>
      </c>
      <c r="C50" s="222"/>
      <c r="D50" s="222"/>
      <c r="E50" s="27">
        <v>0</v>
      </c>
      <c r="G50" s="175"/>
      <c r="H50" s="175"/>
      <c r="I50" s="175"/>
      <c r="J50" s="175"/>
      <c r="K50" s="175"/>
      <c r="O50"/>
      <c r="P50"/>
      <c r="Q50"/>
      <c r="S50" s="142"/>
      <c r="T50" s="142"/>
      <c r="U50" s="142"/>
      <c r="V50" s="142"/>
      <c r="W50" s="142"/>
    </row>
    <row r="51" spans="2:23" ht="14.25" customHeight="1" x14ac:dyDescent="0.25">
      <c r="B51" s="222" t="s">
        <v>74</v>
      </c>
      <c r="C51" s="222"/>
      <c r="D51" s="222"/>
      <c r="E51" s="27">
        <v>0</v>
      </c>
      <c r="G51" s="190" t="s">
        <v>181</v>
      </c>
      <c r="H51" s="190"/>
      <c r="I51" s="190"/>
      <c r="J51" s="190"/>
      <c r="K51" s="191">
        <f>G26</f>
        <v>0</v>
      </c>
      <c r="M51"/>
      <c r="N51"/>
      <c r="O51"/>
      <c r="P51"/>
      <c r="Q51"/>
      <c r="S51" s="15"/>
    </row>
    <row r="52" spans="2:23" ht="14.25" customHeight="1" x14ac:dyDescent="0.25">
      <c r="B52" s="222" t="s">
        <v>74</v>
      </c>
      <c r="C52" s="222"/>
      <c r="D52" s="222"/>
      <c r="E52" s="27">
        <v>0</v>
      </c>
      <c r="G52" s="190"/>
      <c r="H52" s="190"/>
      <c r="I52" s="190"/>
      <c r="J52" s="190"/>
      <c r="K52" s="191"/>
      <c r="S52" s="15"/>
    </row>
    <row r="53" spans="2:23" ht="14.25" customHeight="1" x14ac:dyDescent="0.25">
      <c r="B53" s="213" t="s">
        <v>89</v>
      </c>
      <c r="C53" s="214"/>
      <c r="D53" s="127"/>
      <c r="E53" s="27">
        <v>0</v>
      </c>
      <c r="G53" s="175"/>
      <c r="H53" s="175"/>
      <c r="I53" s="175"/>
      <c r="J53" s="175"/>
      <c r="K53" s="175"/>
      <c r="S53" s="15"/>
    </row>
    <row r="54" spans="2:23" ht="14.25" customHeight="1" x14ac:dyDescent="0.25">
      <c r="B54" s="221" t="s">
        <v>14</v>
      </c>
      <c r="C54" s="221"/>
      <c r="D54" s="221"/>
      <c r="E54" s="26">
        <f>SUM(E44:E53)</f>
        <v>0</v>
      </c>
      <c r="G54" s="175"/>
      <c r="H54" s="175"/>
      <c r="I54" s="175"/>
      <c r="J54" s="175"/>
      <c r="K54" s="175"/>
    </row>
    <row r="55" spans="2:23" ht="5.25" customHeight="1" x14ac:dyDescent="0.25">
      <c r="B55" s="16"/>
      <c r="E55" s="17"/>
    </row>
    <row r="56" spans="2:23" ht="9" customHeight="1" x14ac:dyDescent="0.25">
      <c r="B56" s="16"/>
      <c r="E56" s="18"/>
      <c r="G56" s="19"/>
      <c r="H56" s="19"/>
      <c r="J56" s="19"/>
      <c r="K56" s="19"/>
    </row>
    <row r="57" spans="2:23" ht="12.75" customHeight="1" x14ac:dyDescent="0.25">
      <c r="B57" s="210" t="s">
        <v>59</v>
      </c>
      <c r="C57" s="210"/>
      <c r="D57" s="210"/>
      <c r="E57" s="210"/>
      <c r="F57" s="210"/>
      <c r="G57" s="210"/>
      <c r="H57" s="210"/>
      <c r="I57" s="210"/>
      <c r="J57" s="210"/>
      <c r="K57" s="210"/>
    </row>
    <row r="58" spans="2:23" ht="18" customHeight="1" x14ac:dyDescent="0.25">
      <c r="B58" s="210"/>
      <c r="C58" s="210"/>
      <c r="D58" s="210"/>
      <c r="E58" s="210"/>
      <c r="F58" s="210"/>
      <c r="G58" s="210"/>
      <c r="H58" s="210"/>
      <c r="I58" s="210"/>
      <c r="J58" s="210"/>
      <c r="K58" s="210"/>
    </row>
    <row r="59" spans="2:23" ht="7.2" customHeight="1" x14ac:dyDescent="0.25">
      <c r="B59" s="49"/>
      <c r="C59" s="49"/>
      <c r="D59" s="49"/>
      <c r="E59" s="49"/>
      <c r="F59" s="49"/>
      <c r="G59" s="49"/>
      <c r="H59" s="49"/>
      <c r="I59" s="49"/>
      <c r="J59" s="49"/>
      <c r="K59" s="49"/>
    </row>
    <row r="60" spans="2:23" x14ac:dyDescent="0.25">
      <c r="B60" s="42" t="s">
        <v>33</v>
      </c>
      <c r="C60" s="43"/>
      <c r="D60" s="43"/>
      <c r="E60" s="43"/>
      <c r="F60" s="43"/>
      <c r="G60" s="43"/>
      <c r="H60" s="43"/>
      <c r="I60" s="43"/>
      <c r="J60" s="43"/>
      <c r="K60" s="43"/>
    </row>
    <row r="61" spans="2:23" x14ac:dyDescent="0.25">
      <c r="B61" s="44" t="s">
        <v>90</v>
      </c>
      <c r="C61" s="43"/>
      <c r="D61" s="43"/>
      <c r="E61" s="43"/>
      <c r="F61" s="43"/>
      <c r="G61" s="43"/>
      <c r="H61" s="43"/>
      <c r="I61" s="43"/>
      <c r="J61" s="43"/>
      <c r="K61" s="43"/>
    </row>
    <row r="62" spans="2:23" x14ac:dyDescent="0.25">
      <c r="B62" s="44" t="s">
        <v>91</v>
      </c>
      <c r="C62" s="43"/>
      <c r="D62" s="43"/>
      <c r="E62" s="43"/>
      <c r="F62" s="43"/>
      <c r="G62" s="43"/>
      <c r="H62" s="43"/>
      <c r="I62" s="43"/>
      <c r="J62" s="43"/>
      <c r="K62" s="43"/>
    </row>
    <row r="63" spans="2:23" x14ac:dyDescent="0.25">
      <c r="B63" s="44" t="s">
        <v>84</v>
      </c>
      <c r="C63" s="44"/>
      <c r="D63" s="44"/>
      <c r="E63" s="44"/>
      <c r="F63" s="44"/>
      <c r="G63" s="43"/>
      <c r="H63" s="43"/>
      <c r="I63" s="43"/>
      <c r="J63" s="43"/>
      <c r="K63" s="43"/>
    </row>
    <row r="64" spans="2:23" x14ac:dyDescent="0.25">
      <c r="B64" s="45" t="s">
        <v>85</v>
      </c>
      <c r="C64" s="43"/>
      <c r="D64" s="43"/>
      <c r="E64" s="43"/>
      <c r="F64" s="43"/>
      <c r="G64" s="43"/>
      <c r="H64" s="43"/>
      <c r="I64" s="43"/>
      <c r="J64" s="43"/>
      <c r="K64" s="43"/>
    </row>
    <row r="65" spans="2:11" ht="12" customHeight="1" x14ac:dyDescent="0.25">
      <c r="B65" s="45" t="s">
        <v>40</v>
      </c>
      <c r="C65" s="46"/>
      <c r="D65" s="46"/>
      <c r="E65" s="46"/>
      <c r="F65" s="46"/>
      <c r="G65" s="46"/>
      <c r="H65" s="46"/>
      <c r="I65" s="43"/>
      <c r="J65" s="46"/>
      <c r="K65" s="46"/>
    </row>
    <row r="66" spans="2:11" x14ac:dyDescent="0.25">
      <c r="B66" s="44" t="s">
        <v>88</v>
      </c>
      <c r="C66" s="47"/>
      <c r="D66" s="48"/>
      <c r="E66" s="47"/>
      <c r="F66" s="47"/>
      <c r="G66" s="48"/>
      <c r="H66" s="46"/>
      <c r="I66" s="43"/>
      <c r="J66" s="46"/>
      <c r="K66" s="46"/>
    </row>
    <row r="67" spans="2:11" x14ac:dyDescent="0.25">
      <c r="B67" s="44" t="s">
        <v>86</v>
      </c>
      <c r="C67" s="47"/>
      <c r="D67" s="47"/>
      <c r="E67" s="47"/>
      <c r="F67" s="47"/>
      <c r="G67" s="47"/>
      <c r="H67" s="43"/>
      <c r="I67" s="43"/>
      <c r="J67" s="43"/>
      <c r="K67" s="43"/>
    </row>
    <row r="68" spans="2:11" x14ac:dyDescent="0.25">
      <c r="B68" s="44" t="s">
        <v>87</v>
      </c>
      <c r="C68" s="43"/>
      <c r="D68" s="43"/>
      <c r="E68" s="43"/>
      <c r="F68" s="43"/>
      <c r="G68" s="43"/>
      <c r="H68" s="43"/>
      <c r="I68" s="43"/>
      <c r="J68" s="43"/>
      <c r="K68" s="43"/>
    </row>
    <row r="69" spans="2:11" x14ac:dyDescent="0.25">
      <c r="B69"/>
      <c r="C69"/>
      <c r="D69"/>
      <c r="E69"/>
      <c r="F69"/>
      <c r="G69"/>
      <c r="H69"/>
      <c r="I69"/>
      <c r="J69"/>
      <c r="K69"/>
    </row>
  </sheetData>
  <sheetProtection algorithmName="SHA-512" hashValue="xnJ5NZ2+aOoPf2WIgtE2xW34YCoa02rmFJoPAsoblG75UJQ5ulShO4PsOGd/xYZtSrG9+ceVJK5LtQQxKvn8fg==" saltValue="tiR8wGsgRCpKWyxp7ypnNA==" spinCount="100000" sheet="1" selectLockedCells="1"/>
  <protectedRanges>
    <protectedRange password="95CF" sqref="E39 E54" name="Range1"/>
    <protectedRange password="95CF" sqref="X42:X45" name="Range1_1_1"/>
    <protectedRange password="95CF" sqref="G33 J34" name="Range1_1_4"/>
  </protectedRanges>
  <mergeCells count="80">
    <mergeCell ref="G40:K40"/>
    <mergeCell ref="B14:C15"/>
    <mergeCell ref="B19:D19"/>
    <mergeCell ref="D14:D15"/>
    <mergeCell ref="D16:D17"/>
    <mergeCell ref="H14:H15"/>
    <mergeCell ref="G16:G17"/>
    <mergeCell ref="H16:H17"/>
    <mergeCell ref="G14:G15"/>
    <mergeCell ref="F14:F15"/>
    <mergeCell ref="F16:F17"/>
    <mergeCell ref="G38:K39"/>
    <mergeCell ref="B21:D21"/>
    <mergeCell ref="E14:E15"/>
    <mergeCell ref="E16:E17"/>
    <mergeCell ref="B16:C17"/>
    <mergeCell ref="B49:D49"/>
    <mergeCell ref="B51:D51"/>
    <mergeCell ref="B36:D36"/>
    <mergeCell ref="B23:D23"/>
    <mergeCell ref="B38:C38"/>
    <mergeCell ref="B33:D33"/>
    <mergeCell ref="B34:D34"/>
    <mergeCell ref="B37:D37"/>
    <mergeCell ref="B29:E30"/>
    <mergeCell ref="B25:C25"/>
    <mergeCell ref="B31:D31"/>
    <mergeCell ref="B43:D43"/>
    <mergeCell ref="E23:K23"/>
    <mergeCell ref="G29:K30"/>
    <mergeCell ref="G31:K32"/>
    <mergeCell ref="G33:K37"/>
    <mergeCell ref="B6:K7"/>
    <mergeCell ref="B57:K58"/>
    <mergeCell ref="E44:E45"/>
    <mergeCell ref="B53:C53"/>
    <mergeCell ref="B44:D45"/>
    <mergeCell ref="B26:C26"/>
    <mergeCell ref="B41:E42"/>
    <mergeCell ref="B32:D32"/>
    <mergeCell ref="B54:D54"/>
    <mergeCell ref="B50:D50"/>
    <mergeCell ref="B46:D46"/>
    <mergeCell ref="B47:D47"/>
    <mergeCell ref="B48:D48"/>
    <mergeCell ref="B39:D39"/>
    <mergeCell ref="B35:D35"/>
    <mergeCell ref="B52:D52"/>
    <mergeCell ref="E27:K27"/>
    <mergeCell ref="B2:K4"/>
    <mergeCell ref="J9:K9"/>
    <mergeCell ref="E10:E11"/>
    <mergeCell ref="E12:E13"/>
    <mergeCell ref="B10:C11"/>
    <mergeCell ref="H10:H11"/>
    <mergeCell ref="G10:G11"/>
    <mergeCell ref="D10:D11"/>
    <mergeCell ref="D12:D13"/>
    <mergeCell ref="F10:F11"/>
    <mergeCell ref="F12:F13"/>
    <mergeCell ref="B12:C13"/>
    <mergeCell ref="G12:G13"/>
    <mergeCell ref="H12:H13"/>
    <mergeCell ref="J10:K11"/>
    <mergeCell ref="E19:H19"/>
    <mergeCell ref="G54:K54"/>
    <mergeCell ref="J12:K13"/>
    <mergeCell ref="G53:K53"/>
    <mergeCell ref="I25:K25"/>
    <mergeCell ref="G50:K50"/>
    <mergeCell ref="I26:K26"/>
    <mergeCell ref="G42:K42"/>
    <mergeCell ref="J14:K15"/>
    <mergeCell ref="J16:K19"/>
    <mergeCell ref="E21:K21"/>
    <mergeCell ref="G41:K41"/>
    <mergeCell ref="G43:K45"/>
    <mergeCell ref="G46:K49"/>
    <mergeCell ref="G51:J52"/>
    <mergeCell ref="K51:K52"/>
  </mergeCells>
  <phoneticPr fontId="3" type="noConversion"/>
  <dataValidations count="1">
    <dataValidation type="list" showInputMessage="1" showErrorMessage="1" errorTitle="Invalid Selection" error="Please Select either R or I as the repayment type" sqref="I26:K27" xr:uid="{83EBD3B5-9A34-462F-9493-C68CC1611A9B}">
      <formula1>"Repayment, Interest Only"</formula1>
    </dataValidation>
  </dataValidations>
  <printOptions horizontalCentered="1"/>
  <pageMargins left="0.25" right="0.25" top="0.75" bottom="0.75" header="0.3" footer="0.3"/>
  <pageSetup paperSize="9" scale="76" orientation="portrait" horizontalDpi="4294967295" verticalDpi="4294967295" r:id="rId1"/>
  <headerFooter alignWithMargins="0">
    <oddFooter>&amp;C&amp;P&amp;R_x000D_&amp;1#&amp;"Calibri"&amp;10&amp;K000000 Internal Use</oddFooter>
  </headerFooter>
  <ignoredErrors>
    <ignoredError sqref="E54" formulaRange="1"/>
  </ignoredErrors>
  <drawing r:id="rId2"/>
  <extLst>
    <ext xmlns:x14="http://schemas.microsoft.com/office/spreadsheetml/2009/9/main" uri="{CCE6A557-97BC-4b89-ADB6-D9C93CAAB3DF}">
      <x14:dataValidations xmlns:xm="http://schemas.microsoft.com/office/excel/2006/main" count="2">
        <x14:dataValidation type="list" showInputMessage="1" showErrorMessage="1" errorTitle="Invalid Selection" error="Please use the values from the drop down list" xr:uid="{22F14667-0E0E-4E6A-A97D-B5154706AAF2}">
          <x14:formula1>
            <xm:f>Dropdowns!$C$1:$C$3</xm:f>
          </x14:formula1>
          <xm:sqref>E23</xm:sqref>
        </x14:dataValidation>
        <x14:dataValidation type="list" allowBlank="1" showInputMessage="1" showErrorMessage="1" xr:uid="{A457E0A7-6BAB-47FF-9A5F-CBB81A568276}">
          <x14:formula1>
            <xm:f>Dropdowns!$A$1:$A$17</xm:f>
          </x14:formula1>
          <xm:sqref>B46:D52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58"/>
  <sheetViews>
    <sheetView showGridLines="0" topLeftCell="A7" zoomScale="80" zoomScaleNormal="80" workbookViewId="0">
      <selection activeCell="E48" sqref="E48:H50"/>
    </sheetView>
  </sheetViews>
  <sheetFormatPr defaultColWidth="9.109375" defaultRowHeight="13.2" x14ac:dyDescent="0.25"/>
  <cols>
    <col min="1" max="1" width="3.109375" style="13" customWidth="1"/>
    <col min="2" max="2" width="29" style="13" customWidth="1"/>
    <col min="3" max="3" width="0.6640625" style="13" customWidth="1"/>
    <col min="4" max="4" width="3.5546875" style="13" customWidth="1"/>
    <col min="5" max="8" width="15" style="13" customWidth="1"/>
    <col min="9" max="9" width="2.88671875" style="13" customWidth="1"/>
    <col min="10" max="10" width="9.109375" style="13"/>
    <col min="11" max="11" width="10.21875" style="13" bestFit="1" customWidth="1"/>
    <col min="12" max="12" width="17.33203125" style="13" customWidth="1"/>
    <col min="13" max="14" width="10.21875" style="13" bestFit="1" customWidth="1"/>
    <col min="15" max="16384" width="9.109375" style="13"/>
  </cols>
  <sheetData>
    <row r="1" spans="2:13" ht="11.25" customHeight="1" x14ac:dyDescent="0.25"/>
    <row r="2" spans="2:13" ht="19.5" customHeight="1" x14ac:dyDescent="0.25">
      <c r="B2" s="277" t="s">
        <v>38</v>
      </c>
      <c r="C2" s="277"/>
      <c r="D2" s="277"/>
      <c r="E2" s="277"/>
      <c r="F2" s="277"/>
      <c r="G2" s="277"/>
      <c r="H2" s="277"/>
    </row>
    <row r="3" spans="2:13" ht="3.75" customHeight="1" x14ac:dyDescent="0.25">
      <c r="B3" s="310"/>
      <c r="C3" s="310"/>
      <c r="D3" s="310"/>
      <c r="E3" s="310"/>
      <c r="F3" s="310"/>
      <c r="G3" s="310"/>
      <c r="H3" s="310"/>
    </row>
    <row r="4" spans="2:13" ht="36" customHeight="1" x14ac:dyDescent="0.25">
      <c r="B4" s="290" t="s">
        <v>41</v>
      </c>
      <c r="C4" s="290"/>
      <c r="D4" s="290"/>
      <c r="E4" s="290"/>
      <c r="F4" s="290"/>
      <c r="G4" s="290"/>
      <c r="H4" s="290"/>
    </row>
    <row r="5" spans="2:13" ht="15.75" customHeight="1" thickBot="1" x14ac:dyDescent="0.3">
      <c r="B5" s="309" t="s">
        <v>100</v>
      </c>
      <c r="C5" s="309"/>
      <c r="D5" s="309"/>
      <c r="E5" s="309"/>
      <c r="F5" s="309"/>
      <c r="G5" s="309"/>
      <c r="H5" s="309"/>
    </row>
    <row r="6" spans="2:13" ht="27" customHeight="1" x14ac:dyDescent="0.25">
      <c r="B6" s="278" t="s">
        <v>20</v>
      </c>
      <c r="C6" s="279"/>
      <c r="D6" s="280"/>
      <c r="E6" s="272" t="s">
        <v>103</v>
      </c>
      <c r="F6" s="272"/>
      <c r="G6" s="272" t="s">
        <v>104</v>
      </c>
      <c r="H6" s="301"/>
    </row>
    <row r="7" spans="2:13" ht="16.5" customHeight="1" x14ac:dyDescent="0.25">
      <c r="B7" s="235" t="s">
        <v>120</v>
      </c>
      <c r="C7" s="236"/>
      <c r="D7" s="237"/>
      <c r="E7" s="273">
        <v>122.36</v>
      </c>
      <c r="F7" s="274"/>
      <c r="G7" s="273">
        <v>162.74</v>
      </c>
      <c r="H7" s="274"/>
      <c r="J7" s="85"/>
    </row>
    <row r="8" spans="2:13" ht="16.5" customHeight="1" x14ac:dyDescent="0.25">
      <c r="B8" s="241" t="s">
        <v>121</v>
      </c>
      <c r="C8" s="242"/>
      <c r="D8" s="243"/>
      <c r="E8" s="270">
        <v>21.44</v>
      </c>
      <c r="F8" s="271"/>
      <c r="G8" s="270">
        <v>28.52</v>
      </c>
      <c r="H8" s="271"/>
      <c r="J8" s="85"/>
    </row>
    <row r="9" spans="2:13" ht="16.5" customHeight="1" x14ac:dyDescent="0.25">
      <c r="B9" s="238" t="s">
        <v>51</v>
      </c>
      <c r="C9" s="239"/>
      <c r="D9" s="240"/>
      <c r="E9" s="275">
        <v>31.68</v>
      </c>
      <c r="F9" s="276"/>
      <c r="G9" s="275">
        <v>42.13</v>
      </c>
      <c r="H9" s="276"/>
    </row>
    <row r="10" spans="2:13" ht="16.5" customHeight="1" x14ac:dyDescent="0.25">
      <c r="B10" s="241" t="s">
        <v>28</v>
      </c>
      <c r="C10" s="244"/>
      <c r="D10" s="245"/>
      <c r="E10" s="270">
        <v>172.64</v>
      </c>
      <c r="F10" s="271"/>
      <c r="G10" s="270">
        <v>229.61</v>
      </c>
      <c r="H10" s="271"/>
    </row>
    <row r="11" spans="2:13" ht="16.5" customHeight="1" x14ac:dyDescent="0.25">
      <c r="B11" s="238" t="s">
        <v>29</v>
      </c>
      <c r="C11" s="239"/>
      <c r="D11" s="240"/>
      <c r="E11" s="275">
        <v>59.38</v>
      </c>
      <c r="F11" s="276"/>
      <c r="G11" s="275">
        <v>78.97</v>
      </c>
      <c r="H11" s="276"/>
    </row>
    <row r="12" spans="2:13" ht="16.5" customHeight="1" x14ac:dyDescent="0.25">
      <c r="B12" s="241" t="s">
        <v>122</v>
      </c>
      <c r="C12" s="242"/>
      <c r="D12" s="243"/>
      <c r="E12" s="270">
        <v>18.79</v>
      </c>
      <c r="F12" s="271"/>
      <c r="G12" s="270">
        <v>24.99</v>
      </c>
      <c r="H12" s="271"/>
    </row>
    <row r="13" spans="2:13" ht="16.5" customHeight="1" x14ac:dyDescent="0.25">
      <c r="B13" s="238" t="s">
        <v>30</v>
      </c>
      <c r="C13" s="239"/>
      <c r="D13" s="240"/>
      <c r="E13" s="275">
        <v>154.22999999999999</v>
      </c>
      <c r="F13" s="276"/>
      <c r="G13" s="275">
        <v>205.13</v>
      </c>
      <c r="H13" s="276"/>
    </row>
    <row r="14" spans="2:13" ht="16.5" customHeight="1" x14ac:dyDescent="0.25">
      <c r="B14" s="241" t="s">
        <v>31</v>
      </c>
      <c r="C14" s="244"/>
      <c r="D14" s="245"/>
      <c r="E14" s="270">
        <v>40.03</v>
      </c>
      <c r="F14" s="271"/>
      <c r="G14" s="270">
        <v>53.24</v>
      </c>
      <c r="H14" s="271"/>
      <c r="L14" s="34"/>
      <c r="M14" s="34"/>
    </row>
    <row r="15" spans="2:13" ht="16.5" customHeight="1" x14ac:dyDescent="0.25">
      <c r="B15" s="246" t="s">
        <v>123</v>
      </c>
      <c r="C15" s="247"/>
      <c r="D15" s="248"/>
      <c r="E15" s="275">
        <v>141.72</v>
      </c>
      <c r="F15" s="276"/>
      <c r="G15" s="275">
        <v>188.49</v>
      </c>
      <c r="H15" s="276"/>
      <c r="L15" s="34"/>
      <c r="M15" s="34"/>
    </row>
    <row r="16" spans="2:13" ht="12.75" customHeight="1" thickBot="1" x14ac:dyDescent="0.3">
      <c r="B16" s="249"/>
      <c r="C16" s="250"/>
      <c r="D16" s="251"/>
      <c r="E16" s="275"/>
      <c r="F16" s="276"/>
      <c r="G16" s="275"/>
      <c r="H16" s="276"/>
      <c r="L16" s="34"/>
    </row>
    <row r="17" spans="2:18" ht="16.5" customHeight="1" thickBot="1" x14ac:dyDescent="0.3">
      <c r="B17" s="284" t="s">
        <v>21</v>
      </c>
      <c r="C17" s="285"/>
      <c r="D17" s="286"/>
      <c r="E17" s="307">
        <f>SUM(E7:E16)</f>
        <v>762.27</v>
      </c>
      <c r="F17" s="308"/>
      <c r="G17" s="307">
        <f>SUM(G7:G16)</f>
        <v>1013.82</v>
      </c>
      <c r="H17" s="312"/>
      <c r="J17"/>
      <c r="K17"/>
      <c r="L17"/>
      <c r="M17"/>
      <c r="N17"/>
      <c r="O17"/>
      <c r="P17"/>
      <c r="Q17"/>
      <c r="R17"/>
    </row>
    <row r="18" spans="2:18" ht="26.25" customHeight="1" thickBot="1" x14ac:dyDescent="0.3">
      <c r="B18" s="306" t="s">
        <v>101</v>
      </c>
      <c r="C18" s="306"/>
      <c r="D18" s="306"/>
      <c r="E18" s="306"/>
      <c r="F18" s="306"/>
      <c r="G18" s="306"/>
      <c r="H18" s="306"/>
      <c r="J18"/>
      <c r="K18"/>
      <c r="L18"/>
      <c r="M18"/>
      <c r="N18"/>
      <c r="O18"/>
      <c r="P18"/>
      <c r="Q18"/>
      <c r="R18"/>
    </row>
    <row r="19" spans="2:18" ht="27" customHeight="1" x14ac:dyDescent="0.25">
      <c r="B19" s="278" t="s">
        <v>20</v>
      </c>
      <c r="C19" s="279"/>
      <c r="D19" s="280"/>
      <c r="E19" s="272" t="s">
        <v>103</v>
      </c>
      <c r="F19" s="272"/>
      <c r="G19" s="272" t="s">
        <v>104</v>
      </c>
      <c r="H19" s="301"/>
      <c r="J19"/>
      <c r="K19"/>
      <c r="L19"/>
      <c r="M19"/>
      <c r="N19"/>
      <c r="O19"/>
      <c r="P19"/>
      <c r="Q19"/>
      <c r="R19"/>
    </row>
    <row r="20" spans="2:18" ht="15.75" customHeight="1" x14ac:dyDescent="0.25">
      <c r="B20" s="235" t="s">
        <v>120</v>
      </c>
      <c r="C20" s="236"/>
      <c r="D20" s="237"/>
      <c r="E20" s="273">
        <v>129.47</v>
      </c>
      <c r="F20" s="274"/>
      <c r="G20" s="273">
        <v>172.19</v>
      </c>
      <c r="H20" s="274"/>
      <c r="J20"/>
      <c r="K20"/>
      <c r="L20" s="35"/>
      <c r="M20" s="35"/>
      <c r="N20"/>
      <c r="O20"/>
      <c r="P20"/>
      <c r="Q20"/>
      <c r="R20"/>
    </row>
    <row r="21" spans="2:18" ht="15.75" customHeight="1" x14ac:dyDescent="0.25">
      <c r="B21" s="241" t="s">
        <v>121</v>
      </c>
      <c r="C21" s="242"/>
      <c r="D21" s="243"/>
      <c r="E21" s="270">
        <v>22.37</v>
      </c>
      <c r="F21" s="271"/>
      <c r="G21" s="270">
        <v>29.75</v>
      </c>
      <c r="H21" s="271"/>
      <c r="J21"/>
      <c r="K21"/>
      <c r="L21" s="35"/>
      <c r="M21" s="35"/>
      <c r="N21"/>
      <c r="O21"/>
      <c r="P21"/>
      <c r="Q21"/>
      <c r="R21"/>
    </row>
    <row r="22" spans="2:18" ht="15.75" customHeight="1" x14ac:dyDescent="0.25">
      <c r="B22" s="238" t="s">
        <v>51</v>
      </c>
      <c r="C22" s="239"/>
      <c r="D22" s="240"/>
      <c r="E22" s="275">
        <v>34.24</v>
      </c>
      <c r="F22" s="276"/>
      <c r="G22" s="275">
        <v>45.54</v>
      </c>
      <c r="H22" s="276"/>
      <c r="J22"/>
      <c r="K22"/>
      <c r="L22" s="35"/>
      <c r="M22" s="35"/>
      <c r="N22"/>
      <c r="O22"/>
      <c r="P22"/>
      <c r="Q22"/>
      <c r="R22"/>
    </row>
    <row r="23" spans="2:18" ht="15.75" customHeight="1" x14ac:dyDescent="0.25">
      <c r="B23" s="241" t="s">
        <v>28</v>
      </c>
      <c r="C23" s="244"/>
      <c r="D23" s="245"/>
      <c r="E23" s="270">
        <v>202.31</v>
      </c>
      <c r="F23" s="271"/>
      <c r="G23" s="270">
        <v>269.08</v>
      </c>
      <c r="H23" s="271"/>
      <c r="J23"/>
      <c r="K23"/>
      <c r="L23" s="35"/>
      <c r="M23" s="35"/>
      <c r="N23"/>
      <c r="O23"/>
      <c r="P23"/>
      <c r="Q23"/>
      <c r="R23"/>
    </row>
    <row r="24" spans="2:18" ht="15.75" customHeight="1" x14ac:dyDescent="0.25">
      <c r="B24" s="238" t="s">
        <v>29</v>
      </c>
      <c r="C24" s="239"/>
      <c r="D24" s="240"/>
      <c r="E24" s="275">
        <v>71.86</v>
      </c>
      <c r="F24" s="276"/>
      <c r="G24" s="275">
        <v>95.57</v>
      </c>
      <c r="H24" s="276"/>
      <c r="J24"/>
      <c r="K24"/>
      <c r="L24" s="35"/>
      <c r="M24" s="35"/>
      <c r="N24"/>
      <c r="O24"/>
      <c r="P24"/>
      <c r="Q24"/>
      <c r="R24"/>
    </row>
    <row r="25" spans="2:18" ht="15.75" customHeight="1" x14ac:dyDescent="0.25">
      <c r="B25" s="241" t="s">
        <v>122</v>
      </c>
      <c r="C25" s="242"/>
      <c r="D25" s="243"/>
      <c r="E25" s="270">
        <v>16.829999999999998</v>
      </c>
      <c r="F25" s="271"/>
      <c r="G25" s="270">
        <v>22.39</v>
      </c>
      <c r="H25" s="271"/>
      <c r="J25"/>
      <c r="K25"/>
      <c r="L25" s="35"/>
      <c r="M25" s="35"/>
      <c r="N25"/>
      <c r="O25"/>
      <c r="P25"/>
      <c r="Q25"/>
      <c r="R25"/>
    </row>
    <row r="26" spans="2:18" ht="15.75" customHeight="1" x14ac:dyDescent="0.25">
      <c r="B26" s="238" t="s">
        <v>30</v>
      </c>
      <c r="C26" s="239"/>
      <c r="D26" s="240"/>
      <c r="E26" s="275">
        <v>159.56</v>
      </c>
      <c r="F26" s="276"/>
      <c r="G26" s="275">
        <v>212.21</v>
      </c>
      <c r="H26" s="276"/>
      <c r="J26"/>
      <c r="K26"/>
      <c r="L26" s="35"/>
      <c r="M26" s="35"/>
      <c r="N26"/>
      <c r="O26"/>
      <c r="P26"/>
      <c r="Q26"/>
      <c r="R26"/>
    </row>
    <row r="27" spans="2:18" ht="15.75" customHeight="1" x14ac:dyDescent="0.25">
      <c r="B27" s="241" t="s">
        <v>31</v>
      </c>
      <c r="C27" s="244"/>
      <c r="D27" s="245"/>
      <c r="E27" s="270">
        <v>42.16</v>
      </c>
      <c r="F27" s="271"/>
      <c r="G27" s="270">
        <v>56.08</v>
      </c>
      <c r="H27" s="271"/>
      <c r="J27"/>
      <c r="K27"/>
      <c r="L27" s="35"/>
      <c r="M27" s="35"/>
      <c r="N27"/>
      <c r="O27"/>
      <c r="P27"/>
      <c r="Q27"/>
      <c r="R27"/>
    </row>
    <row r="28" spans="2:18" ht="16.5" customHeight="1" x14ac:dyDescent="0.25">
      <c r="B28" s="246" t="s">
        <v>123</v>
      </c>
      <c r="C28" s="247"/>
      <c r="D28" s="248"/>
      <c r="E28" s="275">
        <v>155.19999999999999</v>
      </c>
      <c r="F28" s="276"/>
      <c r="G28" s="275">
        <v>206.41</v>
      </c>
      <c r="H28" s="276"/>
      <c r="J28"/>
      <c r="K28"/>
      <c r="L28" s="35"/>
      <c r="M28" s="35"/>
      <c r="N28"/>
      <c r="O28"/>
      <c r="P28"/>
      <c r="Q28"/>
      <c r="R28"/>
    </row>
    <row r="29" spans="2:18" ht="13.8" thickBot="1" x14ac:dyDescent="0.3">
      <c r="B29" s="249"/>
      <c r="C29" s="250"/>
      <c r="D29" s="251"/>
      <c r="E29" s="275"/>
      <c r="F29" s="276"/>
      <c r="G29" s="275"/>
      <c r="H29" s="276"/>
      <c r="J29"/>
      <c r="K29"/>
      <c r="L29" s="35"/>
      <c r="M29" s="35"/>
      <c r="N29"/>
      <c r="O29"/>
      <c r="P29"/>
      <c r="Q29"/>
      <c r="R29"/>
    </row>
    <row r="30" spans="2:18" ht="16.5" customHeight="1" thickBot="1" x14ac:dyDescent="0.3">
      <c r="B30" s="281" t="s">
        <v>21</v>
      </c>
      <c r="C30" s="282"/>
      <c r="D30" s="283"/>
      <c r="E30" s="293">
        <f>SUM(E20:E29)</f>
        <v>834</v>
      </c>
      <c r="F30" s="293"/>
      <c r="G30" s="293">
        <f>SUM(G20:G29)</f>
        <v>1109.22</v>
      </c>
      <c r="H30" s="294"/>
      <c r="J30"/>
      <c r="K30"/>
      <c r="L30"/>
      <c r="M30" s="35"/>
      <c r="N30"/>
      <c r="O30"/>
      <c r="P30"/>
      <c r="Q30"/>
      <c r="R30"/>
    </row>
    <row r="31" spans="2:18" ht="26.25" customHeight="1" thickBot="1" x14ac:dyDescent="0.3">
      <c r="B31" s="306" t="s">
        <v>102</v>
      </c>
      <c r="C31" s="306"/>
      <c r="D31" s="306"/>
      <c r="E31" s="306"/>
      <c r="F31" s="306"/>
      <c r="G31" s="306"/>
      <c r="H31" s="306"/>
      <c r="L31"/>
      <c r="M31" s="35"/>
      <c r="N31"/>
      <c r="O31"/>
      <c r="P31"/>
      <c r="Q31"/>
      <c r="R31"/>
    </row>
    <row r="32" spans="2:18" ht="27" customHeight="1" x14ac:dyDescent="0.25">
      <c r="B32" s="287" t="s">
        <v>20</v>
      </c>
      <c r="C32" s="288"/>
      <c r="D32" s="289"/>
      <c r="E32" s="272" t="s">
        <v>103</v>
      </c>
      <c r="F32" s="272"/>
      <c r="G32" s="272" t="s">
        <v>104</v>
      </c>
      <c r="H32" s="301"/>
      <c r="L32"/>
      <c r="M32" s="35"/>
      <c r="N32"/>
      <c r="O32"/>
      <c r="P32"/>
      <c r="Q32"/>
      <c r="R32"/>
    </row>
    <row r="33" spans="2:13" ht="15.75" customHeight="1" x14ac:dyDescent="0.25">
      <c r="B33" s="238" t="s">
        <v>120</v>
      </c>
      <c r="C33" s="239"/>
      <c r="D33" s="240"/>
      <c r="E33" s="273">
        <v>120.46</v>
      </c>
      <c r="F33" s="274"/>
      <c r="G33" s="273">
        <v>160.22</v>
      </c>
      <c r="H33" s="274"/>
      <c r="L33" s="34"/>
      <c r="M33" s="35"/>
    </row>
    <row r="34" spans="2:13" ht="15.75" customHeight="1" x14ac:dyDescent="0.25">
      <c r="B34" s="241" t="s">
        <v>121</v>
      </c>
      <c r="C34" s="242"/>
      <c r="D34" s="243"/>
      <c r="E34" s="270">
        <v>15.37</v>
      </c>
      <c r="F34" s="271"/>
      <c r="G34" s="270">
        <v>20.440000000000001</v>
      </c>
      <c r="H34" s="271"/>
      <c r="L34" s="34"/>
      <c r="M34" s="35"/>
    </row>
    <row r="35" spans="2:13" ht="15.75" customHeight="1" x14ac:dyDescent="0.25">
      <c r="B35" s="238" t="s">
        <v>51</v>
      </c>
      <c r="C35" s="239"/>
      <c r="D35" s="240"/>
      <c r="E35" s="275">
        <v>38.700000000000003</v>
      </c>
      <c r="F35" s="276"/>
      <c r="G35" s="275">
        <v>51.47</v>
      </c>
      <c r="H35" s="276"/>
      <c r="L35" s="34"/>
      <c r="M35" s="35"/>
    </row>
    <row r="36" spans="2:13" ht="15.75" customHeight="1" x14ac:dyDescent="0.25">
      <c r="B36" s="241" t="s">
        <v>28</v>
      </c>
      <c r="C36" s="244"/>
      <c r="D36" s="245"/>
      <c r="E36" s="270">
        <v>310.37</v>
      </c>
      <c r="F36" s="271"/>
      <c r="G36" s="270">
        <v>412.79</v>
      </c>
      <c r="H36" s="271"/>
      <c r="K36" s="34"/>
      <c r="L36" s="34"/>
      <c r="M36" s="35"/>
    </row>
    <row r="37" spans="2:13" ht="15.75" customHeight="1" x14ac:dyDescent="0.25">
      <c r="B37" s="238" t="s">
        <v>29</v>
      </c>
      <c r="C37" s="239"/>
      <c r="D37" s="240"/>
      <c r="E37" s="275">
        <v>61.66</v>
      </c>
      <c r="F37" s="276"/>
      <c r="G37" s="275">
        <v>82</v>
      </c>
      <c r="H37" s="276"/>
      <c r="L37" s="34"/>
      <c r="M37" s="35"/>
    </row>
    <row r="38" spans="2:13" ht="15.75" customHeight="1" x14ac:dyDescent="0.25">
      <c r="B38" s="241" t="s">
        <v>122</v>
      </c>
      <c r="C38" s="242"/>
      <c r="D38" s="243"/>
      <c r="E38" s="270">
        <v>15.56</v>
      </c>
      <c r="F38" s="271"/>
      <c r="G38" s="270">
        <v>20.7</v>
      </c>
      <c r="H38" s="271"/>
      <c r="L38" s="34"/>
      <c r="M38" s="35"/>
    </row>
    <row r="39" spans="2:13" ht="15.75" customHeight="1" x14ac:dyDescent="0.25">
      <c r="B39" s="238" t="s">
        <v>30</v>
      </c>
      <c r="C39" s="239"/>
      <c r="D39" s="240"/>
      <c r="E39" s="275">
        <v>119.9</v>
      </c>
      <c r="F39" s="276"/>
      <c r="G39" s="275">
        <v>159.46</v>
      </c>
      <c r="H39" s="276"/>
      <c r="L39" s="34"/>
      <c r="M39" s="35"/>
    </row>
    <row r="40" spans="2:13" ht="15.75" customHeight="1" x14ac:dyDescent="0.25">
      <c r="B40" s="241" t="s">
        <v>31</v>
      </c>
      <c r="C40" s="244"/>
      <c r="D40" s="245"/>
      <c r="E40" s="270">
        <v>40.79</v>
      </c>
      <c r="F40" s="271"/>
      <c r="G40" s="270">
        <v>54.25</v>
      </c>
      <c r="H40" s="271"/>
      <c r="L40" s="34"/>
      <c r="M40" s="35"/>
    </row>
    <row r="41" spans="2:13" ht="16.5" customHeight="1" x14ac:dyDescent="0.25">
      <c r="B41" s="246" t="s">
        <v>123</v>
      </c>
      <c r="C41" s="247"/>
      <c r="D41" s="248"/>
      <c r="E41" s="275">
        <v>175.1</v>
      </c>
      <c r="F41" s="276"/>
      <c r="G41" s="275">
        <v>232.88</v>
      </c>
      <c r="H41" s="276"/>
      <c r="L41" s="34"/>
      <c r="M41" s="35"/>
    </row>
    <row r="42" spans="2:13" ht="13.8" thickBot="1" x14ac:dyDescent="0.3">
      <c r="B42" s="249"/>
      <c r="C42" s="250"/>
      <c r="D42" s="251"/>
      <c r="E42" s="275"/>
      <c r="F42" s="276"/>
      <c r="G42" s="275"/>
      <c r="H42" s="276"/>
    </row>
    <row r="43" spans="2:13" ht="16.5" customHeight="1" thickBot="1" x14ac:dyDescent="0.3">
      <c r="B43" s="281" t="s">
        <v>21</v>
      </c>
      <c r="C43" s="282"/>
      <c r="D43" s="283"/>
      <c r="E43" s="293">
        <f>SUM(E33:E42)</f>
        <v>897.90999999999985</v>
      </c>
      <c r="F43" s="293"/>
      <c r="G43" s="293">
        <f>SUM(G33:G42)</f>
        <v>1194.21</v>
      </c>
      <c r="H43" s="294"/>
    </row>
    <row r="44" spans="2:13" ht="18.75" customHeight="1" x14ac:dyDescent="0.25">
      <c r="B44" s="311"/>
      <c r="C44" s="311"/>
      <c r="D44" s="311"/>
      <c r="E44" s="311"/>
      <c r="F44" s="311"/>
      <c r="G44" s="311"/>
      <c r="H44" s="311"/>
    </row>
    <row r="45" spans="2:13" ht="18" customHeight="1" x14ac:dyDescent="0.25">
      <c r="B45" s="277" t="s">
        <v>39</v>
      </c>
      <c r="C45" s="277"/>
      <c r="D45" s="277"/>
      <c r="E45" s="277"/>
      <c r="F45" s="277"/>
      <c r="G45" s="277"/>
      <c r="H45" s="277"/>
    </row>
    <row r="46" spans="2:13" ht="13.2" customHeight="1" thickBot="1" x14ac:dyDescent="0.3">
      <c r="B46" s="305" t="s">
        <v>106</v>
      </c>
      <c r="C46" s="305"/>
      <c r="D46" s="305"/>
      <c r="E46" s="305"/>
      <c r="F46" s="305"/>
      <c r="G46" s="305"/>
      <c r="H46" s="305"/>
    </row>
    <row r="47" spans="2:13" ht="30" customHeight="1" x14ac:dyDescent="0.25">
      <c r="B47" s="259" t="s">
        <v>58</v>
      </c>
      <c r="C47" s="260"/>
      <c r="D47" s="261"/>
      <c r="E47" s="272" t="s">
        <v>103</v>
      </c>
      <c r="F47" s="272"/>
      <c r="G47" s="272" t="s">
        <v>104</v>
      </c>
      <c r="H47" s="301"/>
      <c r="I47"/>
      <c r="J47"/>
      <c r="K47"/>
    </row>
    <row r="48" spans="2:13" ht="15.75" customHeight="1" x14ac:dyDescent="0.25">
      <c r="B48" s="235" t="s">
        <v>107</v>
      </c>
      <c r="C48" s="236"/>
      <c r="D48" s="237"/>
      <c r="E48" s="302">
        <v>93.71</v>
      </c>
      <c r="F48" s="303"/>
      <c r="G48" s="299">
        <v>124.64</v>
      </c>
      <c r="H48" s="300"/>
      <c r="I48"/>
      <c r="J48"/>
      <c r="K48"/>
      <c r="L48" s="34"/>
    </row>
    <row r="49" spans="2:12" ht="15.75" customHeight="1" x14ac:dyDescent="0.25">
      <c r="B49" s="241" t="s">
        <v>108</v>
      </c>
      <c r="C49" s="244"/>
      <c r="D49" s="245"/>
      <c r="E49" s="297">
        <v>105.51</v>
      </c>
      <c r="F49" s="304"/>
      <c r="G49" s="297">
        <v>140.33000000000001</v>
      </c>
      <c r="H49" s="298"/>
      <c r="I49"/>
      <c r="J49"/>
      <c r="K49"/>
      <c r="L49" s="34"/>
    </row>
    <row r="50" spans="2:12" ht="15.75" customHeight="1" thickBot="1" x14ac:dyDescent="0.3">
      <c r="B50" s="265" t="s">
        <v>109</v>
      </c>
      <c r="C50" s="266"/>
      <c r="D50" s="267"/>
      <c r="E50" s="268">
        <v>115.91</v>
      </c>
      <c r="F50" s="269"/>
      <c r="G50" s="295">
        <v>154.16</v>
      </c>
      <c r="H50" s="296"/>
      <c r="I50"/>
      <c r="J50"/>
      <c r="K50"/>
      <c r="L50" s="34"/>
    </row>
    <row r="51" spans="2:12" ht="15.75" customHeight="1" x14ac:dyDescent="0.25">
      <c r="B51"/>
      <c r="C51"/>
      <c r="D51"/>
      <c r="E51"/>
      <c r="F51"/>
      <c r="G51"/>
      <c r="H51"/>
      <c r="I51"/>
      <c r="J51"/>
      <c r="K51"/>
      <c r="L51" s="34"/>
    </row>
    <row r="52" spans="2:12" ht="30" customHeight="1" x14ac:dyDescent="0.25">
      <c r="B52" s="262" t="s">
        <v>22</v>
      </c>
      <c r="C52" s="263"/>
      <c r="D52" s="264"/>
      <c r="E52" s="252" t="s">
        <v>52</v>
      </c>
      <c r="F52" s="253"/>
      <c r="G52"/>
      <c r="H52"/>
    </row>
    <row r="53" spans="2:12" ht="36.75" customHeight="1" x14ac:dyDescent="0.25">
      <c r="B53" s="256" t="s">
        <v>23</v>
      </c>
      <c r="C53" s="257"/>
      <c r="D53" s="258"/>
      <c r="E53" s="254">
        <f>Parameters!C35</f>
        <v>0</v>
      </c>
      <c r="F53" s="255"/>
      <c r="G53"/>
      <c r="H53" s="35"/>
    </row>
    <row r="56" spans="2:12" ht="20.25" customHeight="1" x14ac:dyDescent="0.25">
      <c r="B56" s="291" t="s">
        <v>151</v>
      </c>
      <c r="C56" s="292"/>
      <c r="D56" s="292"/>
      <c r="E56" s="292"/>
      <c r="F56" s="292"/>
      <c r="G56" s="292"/>
      <c r="H56" s="13" t="s">
        <v>48</v>
      </c>
    </row>
    <row r="58" spans="2:12" ht="24.75" customHeight="1" x14ac:dyDescent="0.25">
      <c r="B58" s="291" t="s">
        <v>150</v>
      </c>
      <c r="C58" s="292"/>
      <c r="D58" s="292"/>
      <c r="E58" s="292"/>
      <c r="F58" s="292"/>
      <c r="G58" s="292"/>
      <c r="H58" s="13" t="s">
        <v>48</v>
      </c>
    </row>
  </sheetData>
  <sheetProtection algorithmName="SHA-512" hashValue="iaPRle/H5oZfCcAI+04fpfUX4Leow4pxCxyamwoIkHW6+x6PCthIdp9g9MkK3rI/99TXwsyrYsjjbUbqABDJxA==" saltValue="7Dvg335MOF+iOueN3VKGTg==" spinCount="100000" sheet="1" selectLockedCells="1"/>
  <protectedRanges>
    <protectedRange password="95CF" sqref="E53" name="Range1_1"/>
  </protectedRanges>
  <mergeCells count="126">
    <mergeCell ref="B5:H5"/>
    <mergeCell ref="B3:H3"/>
    <mergeCell ref="B44:H44"/>
    <mergeCell ref="E15:F16"/>
    <mergeCell ref="G15:H16"/>
    <mergeCell ref="G17:H17"/>
    <mergeCell ref="E28:F29"/>
    <mergeCell ref="G23:H23"/>
    <mergeCell ref="G22:H22"/>
    <mergeCell ref="G21:H21"/>
    <mergeCell ref="G20:H20"/>
    <mergeCell ref="G27:H27"/>
    <mergeCell ref="E20:F20"/>
    <mergeCell ref="E21:F21"/>
    <mergeCell ref="E22:F22"/>
    <mergeCell ref="E23:F23"/>
    <mergeCell ref="E24:F24"/>
    <mergeCell ref="E25:F25"/>
    <mergeCell ref="E26:F26"/>
    <mergeCell ref="B18:H18"/>
    <mergeCell ref="G9:H9"/>
    <mergeCell ref="G8:H8"/>
    <mergeCell ref="G7:H7"/>
    <mergeCell ref="G19:H19"/>
    <mergeCell ref="G26:H26"/>
    <mergeCell ref="G25:H25"/>
    <mergeCell ref="G24:H24"/>
    <mergeCell ref="G6:H6"/>
    <mergeCell ref="E6:F6"/>
    <mergeCell ref="E7:F7"/>
    <mergeCell ref="E8:F8"/>
    <mergeCell ref="E9:F9"/>
    <mergeCell ref="G14:H14"/>
    <mergeCell ref="G13:H13"/>
    <mergeCell ref="G12:H12"/>
    <mergeCell ref="G11:H11"/>
    <mergeCell ref="G10:H10"/>
    <mergeCell ref="E10:F10"/>
    <mergeCell ref="E11:F11"/>
    <mergeCell ref="E12:F12"/>
    <mergeCell ref="E13:F13"/>
    <mergeCell ref="E14:F14"/>
    <mergeCell ref="E19:F19"/>
    <mergeCell ref="E17:F17"/>
    <mergeCell ref="E37:F37"/>
    <mergeCell ref="E38:F38"/>
    <mergeCell ref="E39:F39"/>
    <mergeCell ref="E40:F40"/>
    <mergeCell ref="E41:F42"/>
    <mergeCell ref="G33:H33"/>
    <mergeCell ref="G32:H32"/>
    <mergeCell ref="G30:H30"/>
    <mergeCell ref="G28:H29"/>
    <mergeCell ref="E30:F30"/>
    <mergeCell ref="G38:H38"/>
    <mergeCell ref="G37:H37"/>
    <mergeCell ref="G36:H36"/>
    <mergeCell ref="G35:H35"/>
    <mergeCell ref="G34:H34"/>
    <mergeCell ref="B31:H31"/>
    <mergeCell ref="B38:D38"/>
    <mergeCell ref="B56:G56"/>
    <mergeCell ref="B58:G58"/>
    <mergeCell ref="B43:D43"/>
    <mergeCell ref="E43:F43"/>
    <mergeCell ref="G43:H43"/>
    <mergeCell ref="G41:H42"/>
    <mergeCell ref="G40:H40"/>
    <mergeCell ref="G39:H39"/>
    <mergeCell ref="G50:H50"/>
    <mergeCell ref="G49:H49"/>
    <mergeCell ref="G48:H48"/>
    <mergeCell ref="E47:F47"/>
    <mergeCell ref="G47:H47"/>
    <mergeCell ref="E48:F48"/>
    <mergeCell ref="E49:F49"/>
    <mergeCell ref="B45:H45"/>
    <mergeCell ref="B46:H46"/>
    <mergeCell ref="B2:H2"/>
    <mergeCell ref="B6:D6"/>
    <mergeCell ref="B12:D12"/>
    <mergeCell ref="B13:D13"/>
    <mergeCell ref="B7:D7"/>
    <mergeCell ref="B14:D14"/>
    <mergeCell ref="B8:D8"/>
    <mergeCell ref="B40:D40"/>
    <mergeCell ref="B35:D35"/>
    <mergeCell ref="B39:D39"/>
    <mergeCell ref="B33:D33"/>
    <mergeCell ref="B30:D30"/>
    <mergeCell ref="B34:D34"/>
    <mergeCell ref="B10:D10"/>
    <mergeCell ref="B26:D26"/>
    <mergeCell ref="B15:D16"/>
    <mergeCell ref="B17:D17"/>
    <mergeCell ref="B32:D32"/>
    <mergeCell ref="B4:H4"/>
    <mergeCell ref="B11:D11"/>
    <mergeCell ref="B23:D23"/>
    <mergeCell ref="B24:D24"/>
    <mergeCell ref="B9:D9"/>
    <mergeCell ref="B19:D19"/>
    <mergeCell ref="B20:D20"/>
    <mergeCell ref="B22:D22"/>
    <mergeCell ref="B21:D21"/>
    <mergeCell ref="B36:D36"/>
    <mergeCell ref="B41:D42"/>
    <mergeCell ref="B28:D29"/>
    <mergeCell ref="B27:D27"/>
    <mergeCell ref="E52:F52"/>
    <mergeCell ref="E53:F53"/>
    <mergeCell ref="B53:D53"/>
    <mergeCell ref="B48:D48"/>
    <mergeCell ref="B47:D47"/>
    <mergeCell ref="B52:D52"/>
    <mergeCell ref="B50:D50"/>
    <mergeCell ref="B49:D49"/>
    <mergeCell ref="E50:F50"/>
    <mergeCell ref="B25:D25"/>
    <mergeCell ref="E27:F27"/>
    <mergeCell ref="E32:F32"/>
    <mergeCell ref="E33:F33"/>
    <mergeCell ref="E34:F34"/>
    <mergeCell ref="E35:F35"/>
    <mergeCell ref="E36:F36"/>
    <mergeCell ref="B37:D37"/>
  </mergeCells>
  <phoneticPr fontId="3" type="noConversion"/>
  <printOptions horizontalCentered="1"/>
  <pageMargins left="0.59055118110236227" right="0.59055118110236227" top="0.78740157480314965" bottom="0.78740157480314965" header="0.51181102362204722" footer="0.51181102362204722"/>
  <pageSetup paperSize="9" scale="73" orientation="portrait" r:id="rId1"/>
  <headerFooter alignWithMargins="0">
    <oddFooter>&amp;C&amp;P&amp;R_x000D_&amp;1#&amp;"Calibri"&amp;10&amp;K000000 Internal Use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K75"/>
  <sheetViews>
    <sheetView workbookViewId="0">
      <selection activeCell="B45" sqref="B45"/>
    </sheetView>
  </sheetViews>
  <sheetFormatPr defaultColWidth="9.109375" defaultRowHeight="13.2" x14ac:dyDescent="0.25"/>
  <cols>
    <col min="1" max="1" width="3.6640625" customWidth="1"/>
    <col min="2" max="2" width="24.21875" customWidth="1"/>
    <col min="3" max="3" width="14.77734375" bestFit="1" customWidth="1"/>
    <col min="4" max="4" width="10.21875" bestFit="1" customWidth="1"/>
    <col min="5" max="5" width="26" customWidth="1"/>
    <col min="6" max="6" width="15.88671875" customWidth="1"/>
    <col min="7" max="7" width="12.77734375" customWidth="1"/>
    <col min="8" max="8" width="15.33203125" customWidth="1"/>
    <col min="9" max="9" width="11.88671875" bestFit="1" customWidth="1"/>
    <col min="10" max="10" width="10.21875" bestFit="1" customWidth="1"/>
  </cols>
  <sheetData>
    <row r="1" spans="2:11" ht="13.8" thickBot="1" x14ac:dyDescent="0.3"/>
    <row r="2" spans="2:11" x14ac:dyDescent="0.25">
      <c r="B2" s="11" t="s">
        <v>19</v>
      </c>
      <c r="C2" s="59">
        <f>IF(AND(TRIM(_App4)&lt;&gt;"", App4Income&lt;&gt;"0"), 4, IF(AND(TRIM(_App3)&lt;&gt;"", App3Income&lt;&gt;"0"), 3, IF(AND(TRIM(_App2)&lt;&gt;"", App2Income&lt;&gt;"0"), 2, IF(AND(TRIM(_App1)&lt;&gt;"",App1Income&lt;&gt;"0"), 1, 0))))</f>
        <v>0</v>
      </c>
      <c r="E2" s="11" t="s">
        <v>27</v>
      </c>
      <c r="F2" s="28">
        <v>0.01</v>
      </c>
      <c r="H2" s="86" t="s">
        <v>182</v>
      </c>
    </row>
    <row r="3" spans="2:11" x14ac:dyDescent="0.25">
      <c r="B3" s="2" t="s">
        <v>18</v>
      </c>
      <c r="C3" s="67"/>
      <c r="E3" s="2" t="str">
        <f>"SVR + " &amp;  F2*100 &amp; "%"</f>
        <v>SVR + 1%</v>
      </c>
      <c r="F3" s="29">
        <f>SVR+F2</f>
        <v>8.8399999999999992E-2</v>
      </c>
    </row>
    <row r="4" spans="2:11" x14ac:dyDescent="0.25">
      <c r="B4" s="2" t="s">
        <v>57</v>
      </c>
      <c r="C4" s="67">
        <f>IF(M25YorN="M25", IF(TA=1,QolSingleM25,IF(TA&gt;=2,QoLJointM25,0)),IF(M25YorN="West Midlands",IF(TA=1,QoLSingleWM,IF(TA&gt;=2,QoLJointWM,0)),IF(QoLSingleOutsideM25,IF(TA&gt;=2,QoLJointOutsideM25,0))))</f>
        <v>0</v>
      </c>
      <c r="E4" s="2" t="s">
        <v>56</v>
      </c>
      <c r="F4" s="3">
        <v>0.02</v>
      </c>
    </row>
    <row r="5" spans="2:11" x14ac:dyDescent="0.25">
      <c r="B5" s="2" t="s">
        <v>4</v>
      </c>
      <c r="C5" s="137" t="str">
        <f>IF(RepaymentType = "Repayment", "R","I")</f>
        <v>R</v>
      </c>
      <c r="E5" s="2" t="str">
        <f>"Product + " &amp;  F4*100 &amp; "%"</f>
        <v>Product + 2%</v>
      </c>
      <c r="F5" s="29">
        <f>InterestRate+F4</f>
        <v>0.02</v>
      </c>
    </row>
    <row r="6" spans="2:11" x14ac:dyDescent="0.25">
      <c r="B6" s="2" t="s">
        <v>1</v>
      </c>
      <c r="C6" s="60">
        <f>InterestRate</f>
        <v>0</v>
      </c>
      <c r="E6" s="6"/>
      <c r="F6" s="1"/>
    </row>
    <row r="7" spans="2:11" ht="13.8" thickBot="1" x14ac:dyDescent="0.3">
      <c r="B7" s="6"/>
      <c r="C7" s="1"/>
      <c r="E7" s="5" t="s">
        <v>55</v>
      </c>
      <c r="F7" s="66">
        <f>F5</f>
        <v>0.02</v>
      </c>
      <c r="G7" s="106" t="s">
        <v>135</v>
      </c>
    </row>
    <row r="8" spans="2:11" x14ac:dyDescent="0.25">
      <c r="B8" s="2" t="s">
        <v>54</v>
      </c>
      <c r="C8" s="61">
        <f>F7</f>
        <v>0.02</v>
      </c>
      <c r="G8" s="106" t="s">
        <v>184</v>
      </c>
    </row>
    <row r="9" spans="2:11" ht="13.8" thickBot="1" x14ac:dyDescent="0.3">
      <c r="B9" s="2" t="s">
        <v>2</v>
      </c>
      <c r="C9" s="62">
        <f>LoanAmount</f>
        <v>0</v>
      </c>
    </row>
    <row r="10" spans="2:11" ht="13.8" thickBot="1" x14ac:dyDescent="0.3">
      <c r="B10" s="2" t="s">
        <v>7</v>
      </c>
      <c r="C10" s="63">
        <f>Years</f>
        <v>0</v>
      </c>
      <c r="E10" s="88" t="s">
        <v>128</v>
      </c>
      <c r="F10" s="12">
        <f>Stressed_Rate/12</f>
        <v>1.6666666666666668E-3</v>
      </c>
      <c r="H10" s="329" t="s">
        <v>163</v>
      </c>
      <c r="I10" s="330"/>
      <c r="K10" s="58"/>
    </row>
    <row r="11" spans="2:11" x14ac:dyDescent="0.25">
      <c r="B11" s="2" t="s">
        <v>8</v>
      </c>
      <c r="C11" s="68">
        <f>Months</f>
        <v>0</v>
      </c>
      <c r="E11" s="89" t="s">
        <v>129</v>
      </c>
      <c r="F11" s="1">
        <f>T</f>
        <v>0</v>
      </c>
      <c r="G11" s="144"/>
      <c r="H11" s="331">
        <v>15000</v>
      </c>
      <c r="I11" s="332"/>
      <c r="J11" t="s">
        <v>162</v>
      </c>
    </row>
    <row r="12" spans="2:11" x14ac:dyDescent="0.25">
      <c r="B12" s="2" t="s">
        <v>0</v>
      </c>
      <c r="C12" s="64">
        <f>SUM(Month+Year*12)</f>
        <v>0</v>
      </c>
      <c r="E12" s="89" t="s">
        <v>166</v>
      </c>
      <c r="F12" s="1"/>
      <c r="G12" s="6">
        <f>TotalDisposableIncome</f>
        <v>0</v>
      </c>
      <c r="H12" s="150"/>
      <c r="I12" s="94"/>
      <c r="J12" t="s">
        <v>139</v>
      </c>
    </row>
    <row r="13" spans="2:11" ht="13.8" thickBot="1" x14ac:dyDescent="0.3">
      <c r="B13" s="2" t="s">
        <v>15</v>
      </c>
      <c r="C13" s="64">
        <f>_Age1</f>
        <v>0</v>
      </c>
      <c r="E13" s="89" t="s">
        <v>130</v>
      </c>
      <c r="F13" s="94">
        <f>-C42</f>
        <v>0</v>
      </c>
      <c r="G13" s="147">
        <f>F13-G12</f>
        <v>0</v>
      </c>
      <c r="H13" s="151"/>
      <c r="I13" s="126"/>
      <c r="J13" t="s">
        <v>167</v>
      </c>
    </row>
    <row r="14" spans="2:11" ht="13.8" thickBot="1" x14ac:dyDescent="0.3">
      <c r="B14" s="2" t="s">
        <v>16</v>
      </c>
      <c r="C14" s="64">
        <f>C13*85</f>
        <v>0</v>
      </c>
      <c r="E14" s="90"/>
      <c r="F14" s="146" t="s">
        <v>164</v>
      </c>
      <c r="G14" s="145" t="s">
        <v>165</v>
      </c>
      <c r="H14" s="148" t="s">
        <v>164</v>
      </c>
      <c r="I14" s="149" t="s">
        <v>165</v>
      </c>
    </row>
    <row r="15" spans="2:11" ht="13.8" thickBot="1" x14ac:dyDescent="0.3">
      <c r="B15" s="2" t="s">
        <v>17</v>
      </c>
      <c r="C15" s="64">
        <f>_Age2</f>
        <v>0</v>
      </c>
      <c r="E15" s="91" t="s">
        <v>131</v>
      </c>
      <c r="F15" s="129">
        <f>(PV(F10,F11,F13))</f>
        <v>0</v>
      </c>
      <c r="G15" s="143">
        <f>(PV(F10,F11,G13))</f>
        <v>0</v>
      </c>
      <c r="H15" s="92">
        <f>(PV(F10,H11,F13))</f>
        <v>0</v>
      </c>
      <c r="I15" s="143">
        <f>(PV(F10,H11,G13))</f>
        <v>0</v>
      </c>
      <c r="J15" t="s">
        <v>140</v>
      </c>
    </row>
    <row r="16" spans="2:11" ht="13.8" thickBot="1" x14ac:dyDescent="0.3">
      <c r="B16" s="2" t="s">
        <v>16</v>
      </c>
      <c r="C16" s="62">
        <f>C15*85</f>
        <v>0</v>
      </c>
      <c r="E16" s="93" t="s">
        <v>132</v>
      </c>
      <c r="F16" s="152">
        <f>ROUNDDOWN((PV(F10,F11,F13)),-2)</f>
        <v>0</v>
      </c>
      <c r="G16" s="152">
        <f>ROUNDDOWN((PV(F10,F11,G13)),-2)</f>
        <v>0</v>
      </c>
      <c r="H16" s="153">
        <f>ROUNDDOWN((PV(F10,H11,F13)),-2)</f>
        <v>0</v>
      </c>
      <c r="I16" s="154">
        <f>ROUNDDOWN((PV(F10,H11,G13)),-2)</f>
        <v>0</v>
      </c>
      <c r="J16" t="s">
        <v>141</v>
      </c>
    </row>
    <row r="17" spans="2:10" ht="13.8" thickBot="1" x14ac:dyDescent="0.3">
      <c r="B17" s="5" t="s">
        <v>43</v>
      </c>
      <c r="C17" s="104">
        <f>I31</f>
        <v>0</v>
      </c>
      <c r="D17" s="22"/>
    </row>
    <row r="18" spans="2:10" ht="13.8" thickBot="1" x14ac:dyDescent="0.3">
      <c r="B18" s="9"/>
      <c r="F18" s="156" t="s">
        <v>160</v>
      </c>
      <c r="G18" s="155" t="s">
        <v>161</v>
      </c>
    </row>
    <row r="19" spans="2:10" ht="13.8" thickBot="1" x14ac:dyDescent="0.3">
      <c r="B19" s="348" t="s">
        <v>6</v>
      </c>
      <c r="C19" s="349"/>
      <c r="E19" s="93" t="s">
        <v>136</v>
      </c>
      <c r="F19" s="157">
        <f>IF(DisposableIncomePercentage&gt;=0, F16, G16)</f>
        <v>0</v>
      </c>
      <c r="G19" s="157">
        <f>IF(DisposableIncomePercentage&gt;=0, H16, I16)</f>
        <v>0</v>
      </c>
    </row>
    <row r="20" spans="2:10" x14ac:dyDescent="0.25">
      <c r="B20" s="11"/>
      <c r="C20" s="12"/>
    </row>
    <row r="21" spans="2:10" ht="13.8" thickBot="1" x14ac:dyDescent="0.3">
      <c r="B21" s="2" t="s">
        <v>3</v>
      </c>
      <c r="C21" s="62">
        <f>IF(OR(T=0,SIR=0),0,SUM((((1+(SIR/12))^T))/(((1+(SIR/12))^T)-1))*(SIR*LA/12))</f>
        <v>0</v>
      </c>
    </row>
    <row r="22" spans="2:10" ht="13.8" thickBot="1" x14ac:dyDescent="0.3">
      <c r="B22" s="2" t="s">
        <v>46</v>
      </c>
      <c r="C22" s="62">
        <f>SUM(SIR*LA/12)</f>
        <v>0</v>
      </c>
      <c r="E22" s="82" t="s">
        <v>111</v>
      </c>
      <c r="F22" s="83">
        <v>1</v>
      </c>
      <c r="G22" s="83">
        <v>2</v>
      </c>
      <c r="H22" s="83">
        <v>3</v>
      </c>
      <c r="I22" s="84">
        <v>4</v>
      </c>
      <c r="J22" s="58"/>
    </row>
    <row r="23" spans="2:10" ht="13.8" thickBot="1" x14ac:dyDescent="0.3">
      <c r="B23" s="2"/>
      <c r="C23" s="4"/>
      <c r="E23" s="73" t="s">
        <v>110</v>
      </c>
      <c r="F23" s="74"/>
      <c r="G23" s="74"/>
      <c r="H23" s="75">
        <v>280</v>
      </c>
      <c r="I23" s="76">
        <v>560</v>
      </c>
      <c r="J23" s="58"/>
    </row>
    <row r="24" spans="2:10" ht="13.8" thickBot="1" x14ac:dyDescent="0.3">
      <c r="B24" s="21" t="s">
        <v>5</v>
      </c>
      <c r="C24" s="65">
        <f>IF(C5="I",C22,(IF(C5="R",C21,"")))</f>
        <v>0</v>
      </c>
      <c r="E24" s="80" t="s">
        <v>97</v>
      </c>
      <c r="F24" s="69">
        <f>SingleHouseholdInsideWM+Expenses!E48</f>
        <v>855.98</v>
      </c>
      <c r="G24" s="69">
        <f>Expenses!G17+Expenses!G48</f>
        <v>1138.46</v>
      </c>
      <c r="H24" s="69">
        <f>G24+H23</f>
        <v>1418.46</v>
      </c>
      <c r="I24" s="70">
        <f>G24+I23</f>
        <v>1698.46</v>
      </c>
      <c r="J24" s="58"/>
    </row>
    <row r="25" spans="2:10" ht="13.8" thickBot="1" x14ac:dyDescent="0.3">
      <c r="B25" s="9"/>
      <c r="C25" s="10"/>
      <c r="E25" s="77" t="s">
        <v>110</v>
      </c>
      <c r="F25" s="54"/>
      <c r="G25" s="78"/>
      <c r="H25" s="78">
        <v>302</v>
      </c>
      <c r="I25" s="79">
        <v>604</v>
      </c>
      <c r="J25" s="58"/>
    </row>
    <row r="26" spans="2:10" ht="13.8" thickBot="1" x14ac:dyDescent="0.3">
      <c r="B26" s="348" t="str">
        <f>"Extra " &amp; F2*100 &amp; "% SVR"</f>
        <v>Extra 1% SVR</v>
      </c>
      <c r="C26" s="349"/>
      <c r="E26" s="80" t="s">
        <v>108</v>
      </c>
      <c r="F26" s="69">
        <f>SingleHouseholdOutsideM25+Expenses!E49</f>
        <v>939.51</v>
      </c>
      <c r="G26" s="69">
        <f>JointHouseholdOutsideM25+Expenses!G49</f>
        <v>1249.55</v>
      </c>
      <c r="H26" s="69">
        <f>G26+H25</f>
        <v>1551.55</v>
      </c>
      <c r="I26" s="70">
        <f>G26+I25</f>
        <v>1853.55</v>
      </c>
    </row>
    <row r="27" spans="2:10" x14ac:dyDescent="0.25">
      <c r="B27" s="2"/>
      <c r="C27" s="4"/>
      <c r="E27" s="77" t="s">
        <v>110</v>
      </c>
      <c r="F27" s="54"/>
      <c r="G27" s="78"/>
      <c r="H27" s="78">
        <v>306</v>
      </c>
      <c r="I27" s="79">
        <v>612</v>
      </c>
    </row>
    <row r="28" spans="2:10" ht="13.8" thickBot="1" x14ac:dyDescent="0.3">
      <c r="B28" s="2" t="s">
        <v>3</v>
      </c>
      <c r="C28" s="62">
        <f>IF(OR(T=0,SIR=0),0,SUM((((1+(CSVR/12))^T))/(((1+(CSVR/12))^T)-1))*(CSVR*LA/12))</f>
        <v>0</v>
      </c>
      <c r="E28" s="81" t="s">
        <v>109</v>
      </c>
      <c r="F28" s="71">
        <f>SingleHouseholdInsideM25+Expenses!E50</f>
        <v>1013.8199999999998</v>
      </c>
      <c r="G28" s="71">
        <f>JointHouseholdInsideM25+Expenses!G50</f>
        <v>1348.3700000000001</v>
      </c>
      <c r="H28" s="71">
        <f>G28+H27</f>
        <v>1654.3700000000001</v>
      </c>
      <c r="I28" s="72">
        <f>G28+I27</f>
        <v>1960.3700000000001</v>
      </c>
    </row>
    <row r="29" spans="2:10" x14ac:dyDescent="0.25">
      <c r="B29" s="2" t="s">
        <v>46</v>
      </c>
      <c r="C29" s="62">
        <f>SUM(CSVR*LA/12)</f>
        <v>0</v>
      </c>
    </row>
    <row r="30" spans="2:10" ht="13.8" thickBot="1" x14ac:dyDescent="0.3">
      <c r="B30" s="6"/>
      <c r="C30" s="4"/>
      <c r="E30" s="58"/>
    </row>
    <row r="31" spans="2:10" ht="13.8" thickBot="1" x14ac:dyDescent="0.3">
      <c r="B31" s="21" t="s">
        <v>5</v>
      </c>
      <c r="C31" s="65">
        <f>IF(C5="I",C29,(IF(C5="R",C28,"")))</f>
        <v>0</v>
      </c>
      <c r="E31" s="339"/>
      <c r="F31" s="340"/>
      <c r="G31" s="341"/>
      <c r="H31" s="93" t="s">
        <v>114</v>
      </c>
      <c r="I31" s="103">
        <f>IF(I33&lt;&gt;0, I33, IF(I34&lt;&gt;0, I34, IF(I35&lt;&gt;0, I35, IF(I32&lt;&gt;0, I32, 0))))</f>
        <v>0</v>
      </c>
    </row>
    <row r="32" spans="2:10" ht="13.8" thickBot="1" x14ac:dyDescent="0.3">
      <c r="E32" s="102" t="s">
        <v>112</v>
      </c>
      <c r="F32" s="100">
        <f>IF(F33&lt;&gt;0, F33, IF(F34&lt;&gt;0, F34, IF(F35&lt;&gt;0, F35,0)))</f>
        <v>18</v>
      </c>
      <c r="G32" s="100"/>
      <c r="H32" s="100" t="s">
        <v>115</v>
      </c>
      <c r="I32" s="101">
        <f>IF(AND(TA=1,F32=16),F26,IF(AND(TA=1,F32=14),F24,IF(AND(TA=1,F32=18),F28,0)))</f>
        <v>0</v>
      </c>
    </row>
    <row r="33" spans="2:9" ht="13.8" thickBot="1" x14ac:dyDescent="0.3">
      <c r="B33" s="350" t="s">
        <v>24</v>
      </c>
      <c r="C33" s="351"/>
      <c r="E33" s="95" t="s">
        <v>97</v>
      </c>
      <c r="F33" s="87">
        <f>IFERROR((IF(SEARCH(E33,M25YorN)&gt;0,14,0)),0)</f>
        <v>0</v>
      </c>
      <c r="G33" s="87"/>
      <c r="H33" s="87" t="s">
        <v>116</v>
      </c>
      <c r="I33" s="96">
        <f>IF(AND(TA=2, F32=16), G26, IF(AND(TA=2, F32=14), G24, IF(AND(TA=2, F32=18), G28, 0)))</f>
        <v>0</v>
      </c>
    </row>
    <row r="34" spans="2:9" ht="13.8" thickBot="1" x14ac:dyDescent="0.3">
      <c r="B34" s="7"/>
      <c r="C34" s="8"/>
      <c r="E34" s="95" t="s">
        <v>189</v>
      </c>
      <c r="F34" s="87">
        <f>IFERROR((IF(SEARCH(E34,M25YorN)&gt;0,18,0)),0)</f>
        <v>18</v>
      </c>
      <c r="G34" s="87"/>
      <c r="H34" s="87" t="s">
        <v>117</v>
      </c>
      <c r="I34" s="96">
        <f>IF(AND(TA=3, F32=16), H26, IF(AND(TA=3, F32=14), H24, IF(AND(TA=3, F32=18), H28, 0)))</f>
        <v>0</v>
      </c>
    </row>
    <row r="35" spans="2:9" ht="13.8" thickBot="1" x14ac:dyDescent="0.3">
      <c r="B35" s="21" t="s">
        <v>25</v>
      </c>
      <c r="C35" s="65">
        <f>SUM(CAge1+CAge2)</f>
        <v>0</v>
      </c>
      <c r="E35" s="97" t="s">
        <v>113</v>
      </c>
      <c r="F35" s="98">
        <f>IFERROR((IF(SEARCH(E35,M25YorN)&gt;0,16,0)),0)</f>
        <v>0</v>
      </c>
      <c r="G35" s="98"/>
      <c r="H35" s="98" t="s">
        <v>118</v>
      </c>
      <c r="I35" s="99">
        <f>IF(AND(TA=4, F32=16), I26, IF(AND(TA=4, F32=14), I24, IF(AND(TA=4, F32=18), I28, 0)))</f>
        <v>0</v>
      </c>
    </row>
    <row r="37" spans="2:9" ht="13.8" thickBot="1" x14ac:dyDescent="0.3">
      <c r="E37" s="160" t="s">
        <v>172</v>
      </c>
      <c r="H37" s="161" t="s">
        <v>170</v>
      </c>
    </row>
    <row r="38" spans="2:9" ht="15" thickBot="1" x14ac:dyDescent="0.3">
      <c r="B38" s="86" t="s">
        <v>124</v>
      </c>
      <c r="E38" s="132" t="s">
        <v>127</v>
      </c>
      <c r="F38" s="138" t="s">
        <v>145</v>
      </c>
      <c r="H38" s="132" t="s">
        <v>127</v>
      </c>
      <c r="I38" s="138" t="s">
        <v>145</v>
      </c>
    </row>
    <row r="39" spans="2:9" ht="15" thickBot="1" x14ac:dyDescent="0.3">
      <c r="B39" s="107" t="s">
        <v>32</v>
      </c>
      <c r="C39" s="108">
        <f>Income</f>
        <v>0</v>
      </c>
      <c r="E39" s="133">
        <v>0.95</v>
      </c>
      <c r="F39" s="134">
        <v>400000</v>
      </c>
      <c r="H39" s="133">
        <v>0.95</v>
      </c>
      <c r="I39" s="134">
        <v>0</v>
      </c>
    </row>
    <row r="40" spans="2:9" ht="15" thickBot="1" x14ac:dyDescent="0.3">
      <c r="B40" s="109" t="s">
        <v>34</v>
      </c>
      <c r="C40" s="110"/>
      <c r="E40" s="133">
        <v>0.9</v>
      </c>
      <c r="F40" s="134">
        <v>500000</v>
      </c>
      <c r="H40" s="133">
        <v>0.9</v>
      </c>
      <c r="I40" s="134">
        <v>0</v>
      </c>
    </row>
    <row r="41" spans="2:9" ht="15" thickBot="1" x14ac:dyDescent="0.3">
      <c r="B41" s="111" t="s">
        <v>35</v>
      </c>
      <c r="C41" s="112">
        <f>Commitments</f>
        <v>0</v>
      </c>
      <c r="E41" s="133">
        <v>0.85</v>
      </c>
      <c r="F41" s="134">
        <v>600000</v>
      </c>
      <c r="H41" s="133">
        <v>0.85</v>
      </c>
      <c r="I41" s="134">
        <v>0</v>
      </c>
    </row>
    <row r="42" spans="2:9" ht="15" thickBot="1" x14ac:dyDescent="0.3">
      <c r="B42" s="111" t="s">
        <v>44</v>
      </c>
      <c r="C42" s="113">
        <f>IF(NMRStressed&gt;0,Parameters!C31,0)</f>
        <v>0</v>
      </c>
      <c r="E42" s="133">
        <v>0.8</v>
      </c>
      <c r="F42" s="135">
        <v>800000</v>
      </c>
      <c r="H42" s="133">
        <v>0.8</v>
      </c>
      <c r="I42" s="134">
        <v>0</v>
      </c>
    </row>
    <row r="43" spans="2:9" ht="27" thickBot="1" x14ac:dyDescent="0.3">
      <c r="B43" s="114" t="s">
        <v>191</v>
      </c>
      <c r="C43" s="113">
        <f>CAge1</f>
        <v>0</v>
      </c>
      <c r="E43" s="133">
        <v>0.75</v>
      </c>
      <c r="F43" s="134">
        <v>1250000</v>
      </c>
      <c r="H43" s="133">
        <v>0.75</v>
      </c>
      <c r="I43" s="134">
        <v>1250000</v>
      </c>
    </row>
    <row r="44" spans="2:9" ht="15" thickBot="1" x14ac:dyDescent="0.3">
      <c r="B44" s="115" t="s">
        <v>192</v>
      </c>
      <c r="C44" s="113">
        <f>CAge2</f>
        <v>0</v>
      </c>
      <c r="E44" s="133">
        <v>0.6</v>
      </c>
      <c r="F44" s="136" t="s">
        <v>146</v>
      </c>
      <c r="H44" s="133">
        <v>0.6</v>
      </c>
      <c r="I44" s="136" t="s">
        <v>146</v>
      </c>
    </row>
    <row r="45" spans="2:9" ht="40.200000000000003" thickBot="1" x14ac:dyDescent="0.3">
      <c r="B45" s="116" t="s">
        <v>105</v>
      </c>
      <c r="C45" s="117">
        <f>BEE_QoLCosts</f>
        <v>0</v>
      </c>
      <c r="E45" s="86" t="s">
        <v>127</v>
      </c>
      <c r="F45" s="130">
        <f>Main!G26</f>
        <v>0</v>
      </c>
    </row>
    <row r="46" spans="2:9" ht="13.8" thickBot="1" x14ac:dyDescent="0.3">
      <c r="B46" s="120"/>
      <c r="C46" s="121"/>
      <c r="E46" s="159" t="s">
        <v>144</v>
      </c>
      <c r="F46" s="131">
        <f>IF(F45&gt;E39, F39, IF(F45&gt;E40, F39, IF(F45&gt;E41, F40, IF(F45&gt;E42, F41, IF(F45&gt;E43, F42, F43)))))</f>
        <v>1250000</v>
      </c>
      <c r="H46" s="158" t="s">
        <v>171</v>
      </c>
      <c r="I46" s="131">
        <f>IF(F45&gt;H39, I39, IF(F45&gt;H40, I39, IF(F45&gt;H41, I40, IF(F45&gt;H42, I41, IF(F45&gt;H43, I42, I43)))))</f>
        <v>1250000</v>
      </c>
    </row>
    <row r="47" spans="2:9" ht="13.05" customHeight="1" thickBot="1" x14ac:dyDescent="0.3">
      <c r="B47" s="118" t="s">
        <v>37</v>
      </c>
      <c r="C47" s="119">
        <f>IF(TotalMonthlyIncome&gt;0,TotalMonthlyIncome-SUM(C41:C45),0)</f>
        <v>0</v>
      </c>
      <c r="E47" s="86"/>
    </row>
    <row r="48" spans="2:9" ht="13.8" thickBot="1" x14ac:dyDescent="0.3">
      <c r="E48" s="86"/>
    </row>
    <row r="49" spans="2:6" ht="12.45" customHeight="1" x14ac:dyDescent="0.25">
      <c r="B49" s="342" t="s">
        <v>186</v>
      </c>
      <c r="C49" s="343"/>
      <c r="D49" t="s">
        <v>185</v>
      </c>
    </row>
    <row r="50" spans="2:6" ht="14.4" x14ac:dyDescent="0.25">
      <c r="B50" s="344">
        <f>CombinedIncome*6.5</f>
        <v>0</v>
      </c>
      <c r="C50" s="345"/>
    </row>
    <row r="51" spans="2:6" ht="12.45" customHeight="1" x14ac:dyDescent="0.25">
      <c r="B51" s="352" t="s">
        <v>133</v>
      </c>
      <c r="C51" s="353"/>
    </row>
    <row r="52" spans="2:6" ht="12.45" customHeight="1" x14ac:dyDescent="0.25">
      <c r="B52" s="346">
        <f>IF(C5="R",F19, IF(C5="I",G19))</f>
        <v>0</v>
      </c>
      <c r="C52" s="347"/>
      <c r="D52" t="s">
        <v>168</v>
      </c>
    </row>
    <row r="53" spans="2:6" x14ac:dyDescent="0.25">
      <c r="B53" s="354" t="s">
        <v>137</v>
      </c>
      <c r="C53" s="355"/>
    </row>
    <row r="54" spans="2:6" ht="13.8" thickBot="1" x14ac:dyDescent="0.3">
      <c r="B54" s="356">
        <v>50000</v>
      </c>
      <c r="C54" s="357"/>
    </row>
    <row r="55" spans="2:6" x14ac:dyDescent="0.25">
      <c r="B55" s="321" t="s">
        <v>142</v>
      </c>
      <c r="C55" s="322"/>
      <c r="E55" s="335" t="s">
        <v>148</v>
      </c>
      <c r="F55" s="336"/>
    </row>
    <row r="56" spans="2:6" ht="13.8" thickBot="1" x14ac:dyDescent="0.3">
      <c r="B56" s="333">
        <f>IF(C5="R",F46, IF(C5="I",I46))</f>
        <v>1250000</v>
      </c>
      <c r="C56" s="334"/>
      <c r="E56" s="337">
        <f>IF(MaxLoanMult&lt;B56,MaxLoanMult,B56)</f>
        <v>0</v>
      </c>
      <c r="F56" s="338"/>
    </row>
    <row r="57" spans="2:6" x14ac:dyDescent="0.25">
      <c r="B57" s="141" t="s">
        <v>156</v>
      </c>
      <c r="C57" s="96"/>
    </row>
    <row r="58" spans="2:6" ht="13.8" thickBot="1" x14ac:dyDescent="0.3">
      <c r="B58" s="327">
        <f>IF(C5="R",G16, IF(C5="I",I16))</f>
        <v>0</v>
      </c>
      <c r="C58" s="328"/>
      <c r="D58" t="s">
        <v>168</v>
      </c>
    </row>
    <row r="59" spans="2:6" ht="13.8" thickBot="1" x14ac:dyDescent="0.3"/>
    <row r="60" spans="2:6" x14ac:dyDescent="0.25">
      <c r="B60" s="323" t="s">
        <v>134</v>
      </c>
      <c r="C60" s="324"/>
      <c r="E60" s="358" t="s">
        <v>173</v>
      </c>
      <c r="F60" s="359"/>
    </row>
    <row r="61" spans="2:6" ht="13.8" thickBot="1" x14ac:dyDescent="0.3">
      <c r="B61" s="325">
        <f>IF(MaxLoanMult&lt;=MaxLoanStress,MaxLoanMult, MaxLoanStress)</f>
        <v>0</v>
      </c>
      <c r="C61" s="326"/>
      <c r="E61" s="325">
        <f>IF(MaxLoanMult&lt;=B58,MaxLoanMult, B58)</f>
        <v>0</v>
      </c>
      <c r="F61" s="326"/>
    </row>
    <row r="62" spans="2:6" x14ac:dyDescent="0.25">
      <c r="B62" s="315" t="s">
        <v>138</v>
      </c>
      <c r="C62" s="316"/>
      <c r="E62" s="360" t="s">
        <v>174</v>
      </c>
      <c r="F62" s="361"/>
    </row>
    <row r="63" spans="2:6" ht="13.8" thickBot="1" x14ac:dyDescent="0.3">
      <c r="B63" s="317">
        <f>IF(B61&gt;B54, B61,B54)</f>
        <v>50000</v>
      </c>
      <c r="C63" s="318"/>
      <c r="E63" s="317">
        <f>IF(E61&gt;B54, E61,B54)</f>
        <v>50000</v>
      </c>
      <c r="F63" s="318"/>
    </row>
    <row r="64" spans="2:6" x14ac:dyDescent="0.25">
      <c r="B64" s="319" t="s">
        <v>143</v>
      </c>
      <c r="C64" s="320"/>
      <c r="E64" s="358" t="s">
        <v>175</v>
      </c>
      <c r="F64" s="359"/>
    </row>
    <row r="65" spans="2:6" ht="13.8" thickBot="1" x14ac:dyDescent="0.3">
      <c r="B65" s="313">
        <f>IF(FinalAmount&gt;B56, B56, FinalAmount)</f>
        <v>50000</v>
      </c>
      <c r="C65" s="314"/>
      <c r="E65" s="313">
        <f>IF(E63&gt;E56, E56, E63)</f>
        <v>0</v>
      </c>
      <c r="F65" s="314"/>
    </row>
    <row r="68" spans="2:6" x14ac:dyDescent="0.25">
      <c r="B68" s="364" t="s">
        <v>13</v>
      </c>
      <c r="C68" s="364"/>
      <c r="D68" s="364"/>
      <c r="E68" s="364"/>
      <c r="F68" s="125">
        <f>Parameters!C24</f>
        <v>0</v>
      </c>
    </row>
    <row r="69" spans="2:6" x14ac:dyDescent="0.25">
      <c r="B69" s="363" t="s">
        <v>159</v>
      </c>
      <c r="C69" s="364"/>
      <c r="D69" s="364"/>
      <c r="E69" s="364"/>
      <c r="F69" s="125">
        <f>Parameters!C31</f>
        <v>0</v>
      </c>
    </row>
    <row r="70" spans="2:6" x14ac:dyDescent="0.25">
      <c r="B70" s="363" t="s">
        <v>157</v>
      </c>
      <c r="C70" s="364"/>
      <c r="D70" s="364"/>
      <c r="E70" s="364"/>
      <c r="F70" s="125">
        <f>TotalDisposableIncome</f>
        <v>0</v>
      </c>
    </row>
    <row r="72" spans="2:6" ht="13.8" x14ac:dyDescent="0.25">
      <c r="B72" s="365" t="s">
        <v>26</v>
      </c>
      <c r="C72" s="365"/>
      <c r="D72" s="365"/>
      <c r="E72" s="365"/>
      <c r="F72" s="365"/>
    </row>
    <row r="73" spans="2:6" x14ac:dyDescent="0.25">
      <c r="B73" s="366" t="str">
        <f>IF(TotalMonthlyIncome&gt;0,SUM(TotalDisposableIncome/TotalMonthlyIncome),"")</f>
        <v/>
      </c>
      <c r="C73" s="366"/>
      <c r="D73" s="366"/>
      <c r="E73" s="366"/>
      <c r="F73" s="366"/>
    </row>
    <row r="74" spans="2:6" x14ac:dyDescent="0.25">
      <c r="B74" s="366"/>
      <c r="C74" s="366"/>
      <c r="D74" s="366"/>
      <c r="E74" s="366"/>
      <c r="F74" s="366"/>
    </row>
    <row r="75" spans="2:6" x14ac:dyDescent="0.25">
      <c r="B75" s="362" t="s">
        <v>125</v>
      </c>
      <c r="C75" s="362"/>
      <c r="D75" s="362"/>
      <c r="E75" s="362"/>
      <c r="F75" s="362"/>
    </row>
  </sheetData>
  <protectedRanges>
    <protectedRange sqref="F2" name="Range1" securityDescriptor="O:WDG:WDD:(A;;CC;;;S-1-5-21-3986253035-2472614209-4169071725-2120)(A;;CC;;;S-1-5-21-3986253035-2472614209-4169071725-2138)(A;;CC;;;S-1-5-21-3986253035-2472614209-4169071725-2149)(A;;CC;;;S-1-5-21-3986253035-2472614209-4169071725-2137)(A;;CC;;;S-1-5-21-3986253035-2472614209-4169071725-2321)"/>
    <protectedRange password="95CF" sqref="C47 C41:C45 C39" name="Range1_1"/>
    <protectedRange password="95CF" sqref="F68:F70" name="Range1_1_1"/>
    <protectedRange password="95CF" sqref="B73" name="Range1_2"/>
  </protectedRanges>
  <mergeCells count="35">
    <mergeCell ref="B75:F75"/>
    <mergeCell ref="B70:E70"/>
    <mergeCell ref="B69:E69"/>
    <mergeCell ref="B68:E68"/>
    <mergeCell ref="B72:F72"/>
    <mergeCell ref="B73:F74"/>
    <mergeCell ref="E65:F65"/>
    <mergeCell ref="E60:F60"/>
    <mergeCell ref="E61:F61"/>
    <mergeCell ref="E62:F62"/>
    <mergeCell ref="E63:F63"/>
    <mergeCell ref="E64:F64"/>
    <mergeCell ref="H10:I10"/>
    <mergeCell ref="H11:I11"/>
    <mergeCell ref="B56:C56"/>
    <mergeCell ref="E55:F55"/>
    <mergeCell ref="E56:F56"/>
    <mergeCell ref="E31:G31"/>
    <mergeCell ref="B49:C49"/>
    <mergeCell ref="B50:C50"/>
    <mergeCell ref="B52:C52"/>
    <mergeCell ref="B26:C26"/>
    <mergeCell ref="B19:C19"/>
    <mergeCell ref="B33:C33"/>
    <mergeCell ref="B51:C51"/>
    <mergeCell ref="B53:C53"/>
    <mergeCell ref="B54:C54"/>
    <mergeCell ref="B65:C65"/>
    <mergeCell ref="B62:C62"/>
    <mergeCell ref="B63:C63"/>
    <mergeCell ref="B64:C64"/>
    <mergeCell ref="B55:C55"/>
    <mergeCell ref="B60:C60"/>
    <mergeCell ref="B61:C61"/>
    <mergeCell ref="B58:C58"/>
  </mergeCells>
  <phoneticPr fontId="3" type="noConversion"/>
  <pageMargins left="0.75" right="0.75" top="1" bottom="1" header="0.5" footer="0.5"/>
  <pageSetup paperSize="9" orientation="portrait" r:id="rId1"/>
  <headerFooter alignWithMargins="0">
    <oddFooter>&amp;R_x000D_&amp;1#&amp;"Calibri"&amp;10&amp;K000000 Internal Use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7"/>
  <sheetViews>
    <sheetView workbookViewId="0">
      <selection activeCell="C1" sqref="C1:C3"/>
    </sheetView>
  </sheetViews>
  <sheetFormatPr defaultRowHeight="13.2" x14ac:dyDescent="0.25"/>
  <cols>
    <col min="1" max="1" width="23.33203125" bestFit="1" customWidth="1"/>
    <col min="3" max="3" width="34.5546875" bestFit="1" customWidth="1"/>
  </cols>
  <sheetData>
    <row r="1" spans="1:3" ht="15" thickBot="1" x14ac:dyDescent="0.3">
      <c r="A1" s="30" t="s">
        <v>60</v>
      </c>
      <c r="C1" s="30" t="s">
        <v>188</v>
      </c>
    </row>
    <row r="2" spans="1:3" ht="15" thickBot="1" x14ac:dyDescent="0.3">
      <c r="A2" s="31" t="s">
        <v>61</v>
      </c>
      <c r="C2" s="38" t="s">
        <v>152</v>
      </c>
    </row>
    <row r="3" spans="1:3" ht="15" thickBot="1" x14ac:dyDescent="0.3">
      <c r="A3" s="32" t="s">
        <v>62</v>
      </c>
      <c r="C3" s="32" t="s">
        <v>75</v>
      </c>
    </row>
    <row r="4" spans="1:3" ht="15" thickBot="1" x14ac:dyDescent="0.3">
      <c r="A4" s="31" t="s">
        <v>63</v>
      </c>
    </row>
    <row r="5" spans="1:3" ht="15" thickBot="1" x14ac:dyDescent="0.3">
      <c r="A5" s="32" t="s">
        <v>64</v>
      </c>
    </row>
    <row r="6" spans="1:3" ht="15" thickBot="1" x14ac:dyDescent="0.3">
      <c r="A6" s="31" t="s">
        <v>65</v>
      </c>
    </row>
    <row r="7" spans="1:3" ht="15" thickBot="1" x14ac:dyDescent="0.3">
      <c r="A7" s="32" t="s">
        <v>66</v>
      </c>
    </row>
    <row r="8" spans="1:3" ht="15" thickBot="1" x14ac:dyDescent="0.3">
      <c r="A8" s="31" t="s">
        <v>67</v>
      </c>
    </row>
    <row r="9" spans="1:3" ht="15" thickBot="1" x14ac:dyDescent="0.3">
      <c r="A9" s="32" t="s">
        <v>68</v>
      </c>
    </row>
    <row r="10" spans="1:3" ht="15" thickBot="1" x14ac:dyDescent="0.3">
      <c r="A10" s="31" t="s">
        <v>69</v>
      </c>
    </row>
    <row r="11" spans="1:3" ht="15" thickBot="1" x14ac:dyDescent="0.3">
      <c r="A11" s="32" t="s">
        <v>70</v>
      </c>
    </row>
    <row r="12" spans="1:3" ht="15" thickBot="1" x14ac:dyDescent="0.3">
      <c r="A12" s="31" t="s">
        <v>71</v>
      </c>
    </row>
    <row r="13" spans="1:3" ht="15" thickBot="1" x14ac:dyDescent="0.3">
      <c r="A13" s="32" t="s">
        <v>72</v>
      </c>
    </row>
    <row r="14" spans="1:3" ht="15" thickBot="1" x14ac:dyDescent="0.3">
      <c r="A14" s="31" t="s">
        <v>73</v>
      </c>
    </row>
    <row r="15" spans="1:3" ht="13.8" thickBot="1" x14ac:dyDescent="0.3">
      <c r="A15" s="40" t="s">
        <v>83</v>
      </c>
    </row>
    <row r="16" spans="1:3" ht="15" thickBot="1" x14ac:dyDescent="0.3">
      <c r="A16" s="32" t="s">
        <v>76</v>
      </c>
    </row>
    <row r="17" spans="1:1" ht="14.4" x14ac:dyDescent="0.25">
      <c r="A17" s="33" t="s">
        <v>74</v>
      </c>
    </row>
  </sheetData>
  <pageMargins left="0.7" right="0.7" top="0.75" bottom="0.75" header="0.3" footer="0.3"/>
  <pageSetup paperSize="9" orientation="portrait" r:id="rId1"/>
  <headerFooter>
    <oddFooter>&amp;R_x000D_&amp;1#&amp;"Calibri"&amp;10&amp;K000000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69</vt:i4>
      </vt:variant>
    </vt:vector>
  </HeadingPairs>
  <TitlesOfParts>
    <vt:vector size="73" baseType="lpstr">
      <vt:lpstr>Main</vt:lpstr>
      <vt:lpstr>Expenses</vt:lpstr>
      <vt:lpstr>Parameters</vt:lpstr>
      <vt:lpstr>Dropdowns</vt:lpstr>
      <vt:lpstr>_Age1</vt:lpstr>
      <vt:lpstr>_Age10</vt:lpstr>
      <vt:lpstr>_Age2</vt:lpstr>
      <vt:lpstr>_App1</vt:lpstr>
      <vt:lpstr>_App2</vt:lpstr>
      <vt:lpstr>_App3</vt:lpstr>
      <vt:lpstr>_App4</vt:lpstr>
      <vt:lpstr>Age10to18</vt:lpstr>
      <vt:lpstr>AgeUnder10</vt:lpstr>
      <vt:lpstr>App1Income</vt:lpstr>
      <vt:lpstr>App2Income</vt:lpstr>
      <vt:lpstr>App3Income</vt:lpstr>
      <vt:lpstr>App4Income</vt:lpstr>
      <vt:lpstr>Basic_Essential_Expenditure</vt:lpstr>
      <vt:lpstr>BEE_QoLCosts</vt:lpstr>
      <vt:lpstr>BQoLCosts</vt:lpstr>
      <vt:lpstr>CAge1</vt:lpstr>
      <vt:lpstr>CAge10</vt:lpstr>
      <vt:lpstr>CAge2</vt:lpstr>
      <vt:lpstr>CombinedIncome</vt:lpstr>
      <vt:lpstr>Commitments</vt:lpstr>
      <vt:lpstr>CreditCardBalances</vt:lpstr>
      <vt:lpstr>CSVR</vt:lpstr>
      <vt:lpstr>DisposableIncomePercentage</vt:lpstr>
      <vt:lpstr>Each_Child_10_18</vt:lpstr>
      <vt:lpstr>Each_Child_under_10</vt:lpstr>
      <vt:lpstr>FinalAmount</vt:lpstr>
      <vt:lpstr>HC</vt:lpstr>
      <vt:lpstr>Income</vt:lpstr>
      <vt:lpstr>InterestRate</vt:lpstr>
      <vt:lpstr>IR</vt:lpstr>
      <vt:lpstr>JointHouseholdInsideM25</vt:lpstr>
      <vt:lpstr>JointHouseholdInsideWM</vt:lpstr>
      <vt:lpstr>JointHouseholdOutsideM25</vt:lpstr>
      <vt:lpstr>LA</vt:lpstr>
      <vt:lpstr>LoanAmount</vt:lpstr>
      <vt:lpstr>M25YorN</vt:lpstr>
      <vt:lpstr>MaxLoanMult</vt:lpstr>
      <vt:lpstr>MaxLoanStress</vt:lpstr>
      <vt:lpstr>Month</vt:lpstr>
      <vt:lpstr>Months</vt:lpstr>
      <vt:lpstr>NMR</vt:lpstr>
      <vt:lpstr>NMRStressed</vt:lpstr>
      <vt:lpstr>Expenses!Print_Area</vt:lpstr>
      <vt:lpstr>Main!Print_Area</vt:lpstr>
      <vt:lpstr>QoLJointM25</vt:lpstr>
      <vt:lpstr>QoLJointOutsideM25</vt:lpstr>
      <vt:lpstr>QoLJointWM</vt:lpstr>
      <vt:lpstr>QolSingleM25</vt:lpstr>
      <vt:lpstr>QoLSingleOutsideM25</vt:lpstr>
      <vt:lpstr>QoLSingleWM</vt:lpstr>
      <vt:lpstr>RealFinalAmount</vt:lpstr>
      <vt:lpstr>RepaymentType</vt:lpstr>
      <vt:lpstr>RT</vt:lpstr>
      <vt:lpstr>SingleHouseholdInsideM25</vt:lpstr>
      <vt:lpstr>SingleHouseholdInsideWM</vt:lpstr>
      <vt:lpstr>SingleHouseholdOutsideM25</vt:lpstr>
      <vt:lpstr>SIR</vt:lpstr>
      <vt:lpstr>Stressed_Rate</vt:lpstr>
      <vt:lpstr>SVR</vt:lpstr>
      <vt:lpstr>T</vt:lpstr>
      <vt:lpstr>TA</vt:lpstr>
      <vt:lpstr>TFD</vt:lpstr>
      <vt:lpstr>TotalCommitments</vt:lpstr>
      <vt:lpstr>TotalDisposableIncome</vt:lpstr>
      <vt:lpstr>TotalMonthlyIncome</vt:lpstr>
      <vt:lpstr>Year</vt:lpstr>
      <vt:lpstr>Years</vt:lpstr>
      <vt:lpstr>ZeroPercentageMaxLoan</vt:lpstr>
    </vt:vector>
  </TitlesOfParts>
  <Company>Tipton &amp; Coseley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emmal</dc:creator>
  <cp:lastModifiedBy>Nathan Palfreyman</cp:lastModifiedBy>
  <cp:lastPrinted>2023-05-17T09:06:09Z</cp:lastPrinted>
  <dcterms:created xsi:type="dcterms:W3CDTF">2009-12-04T14:54:31Z</dcterms:created>
  <dcterms:modified xsi:type="dcterms:W3CDTF">2026-01-12T11:36:02Z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6fed27-1596-485b-8c94-1a3dc2b7bb57_Enabled">
    <vt:lpwstr>true</vt:lpwstr>
  </property>
  <property fmtid="{D5CDD505-2E9C-101B-9397-08002B2CF9AE}" pid="3" name="MSIP_Label_cf6fed27-1596-485b-8c94-1a3dc2b7bb57_SetDate">
    <vt:lpwstr>2022-07-27T08:21:36Z</vt:lpwstr>
  </property>
  <property fmtid="{D5CDD505-2E9C-101B-9397-08002B2CF9AE}" pid="4" name="MSIP_Label_cf6fed27-1596-485b-8c94-1a3dc2b7bb57_Method">
    <vt:lpwstr>Privileged</vt:lpwstr>
  </property>
  <property fmtid="{D5CDD505-2E9C-101B-9397-08002B2CF9AE}" pid="5" name="MSIP_Label_cf6fed27-1596-485b-8c94-1a3dc2b7bb57_Name">
    <vt:lpwstr>Internal</vt:lpwstr>
  </property>
  <property fmtid="{D5CDD505-2E9C-101B-9397-08002B2CF9AE}" pid="6" name="MSIP_Label_cf6fed27-1596-485b-8c94-1a3dc2b7bb57_SiteId">
    <vt:lpwstr>21d3875c-cfad-47b6-888b-3a2b7dd27e3f</vt:lpwstr>
  </property>
  <property fmtid="{D5CDD505-2E9C-101B-9397-08002B2CF9AE}" pid="7" name="MSIP_Label_cf6fed27-1596-485b-8c94-1a3dc2b7bb57_ActionId">
    <vt:lpwstr>840a3ec4-4ea3-4ae5-9639-ac6487d09d13</vt:lpwstr>
  </property>
  <property fmtid="{D5CDD505-2E9C-101B-9397-08002B2CF9AE}" pid="8" name="MSIP_Label_cf6fed27-1596-485b-8c94-1a3dc2b7bb57_ContentBits">
    <vt:lpwstr>2</vt:lpwstr>
  </property>
</Properties>
</file>