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Z:\Calculation Utilities\v3.8 updated Stress rate 04-07-25\External (locked)\"/>
    </mc:Choice>
  </mc:AlternateContent>
  <xr:revisionPtr revIDLastSave="0" documentId="13_ncr:1_{28321E80-C8AD-4115-96D2-E3AFD66BF344}" xr6:coauthVersionLast="47" xr6:coauthVersionMax="47" xr10:uidLastSave="{00000000-0000-0000-0000-000000000000}"/>
  <workbookProtection workbookAlgorithmName="SHA-512" workbookHashValue="nCkpeZNQR4dfBDMtQ1sucFWb35MkQiFRm54eHwGDx6diaJZHWWeN2pQtCn+Oaq/4Vb67rmw6YfHTuPByXhEn7Q==" workbookSaltValue="YxDUgNXJmAC8OrhbyFwhVg==" workbookSpinCount="100000" lockStructure="1"/>
  <bookViews>
    <workbookView xWindow="19090" yWindow="-17420" windowWidth="38620" windowHeight="21100" xr2:uid="{00000000-000D-0000-FFFF-FFFF00000000}"/>
  </bookViews>
  <sheets>
    <sheet name="Main" sheetId="1" r:id="rId1"/>
    <sheet name="Expenses" sheetId="3" state="hidden"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Main!$E$54</definedName>
    <definedName name="CreditCardBalances">Main!$E$43</definedName>
    <definedName name="CSVR">Parameters!$C$8</definedName>
    <definedName name="DisposableIncomePercentage">Parameters!$B$73</definedName>
    <definedName name="Each_Child_10_18">Parameters!$F$3</definedName>
    <definedName name="Each_Child_under_10">Parameters!$F$2</definedName>
    <definedName name="FinalAmount">Parameters!$B$63</definedName>
    <definedName name="HC">Parameters!$C$3</definedName>
    <definedName name="Income">Main!$E$39</definedName>
    <definedName name="IncomeForUnderwriting">[1]Calculator!$J$33</definedName>
    <definedName name="InterestRate">Main!$E$26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Main!$A$1:$L$70</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Main!$E$52</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H12" i="1"/>
  <c r="C5" i="2" l="1"/>
  <c r="C2" i="2"/>
  <c r="C4" i="2" s="1"/>
  <c r="G26" i="1" l="1"/>
  <c r="K51" i="1" s="1"/>
  <c r="E44" i="1"/>
  <c r="F45" i="2" l="1"/>
  <c r="H10" i="1"/>
  <c r="F5" i="2"/>
  <c r="F7" i="2" s="1"/>
  <c r="F3" i="2"/>
  <c r="F35" i="2"/>
  <c r="F34" i="2"/>
  <c r="F33" i="2"/>
  <c r="B26" i="2"/>
  <c r="C15" i="2"/>
  <c r="C16" i="2" s="1"/>
  <c r="C44" i="2" s="1"/>
  <c r="C13" i="2"/>
  <c r="C14" i="2" s="1"/>
  <c r="C11" i="2"/>
  <c r="C10" i="2"/>
  <c r="C9" i="2"/>
  <c r="C6" i="2"/>
  <c r="E3" i="2"/>
  <c r="G43" i="3"/>
  <c r="G28" i="2" s="1"/>
  <c r="H28" i="2" s="1"/>
  <c r="E43" i="3"/>
  <c r="F28" i="2" s="1"/>
  <c r="G30" i="3"/>
  <c r="G26" i="2" s="1"/>
  <c r="I26" i="2" s="1"/>
  <c r="E30" i="3"/>
  <c r="F26" i="2" s="1"/>
  <c r="G17" i="3"/>
  <c r="G24" i="2" s="1"/>
  <c r="H24" i="2" s="1"/>
  <c r="E17" i="3"/>
  <c r="F24" i="2" s="1"/>
  <c r="E54" i="1"/>
  <c r="C41" i="2" s="1"/>
  <c r="E39" i="1"/>
  <c r="G33" i="1" s="1"/>
  <c r="H16" i="1"/>
  <c r="H14" i="1"/>
  <c r="F46" i="2" l="1"/>
  <c r="I46" i="2"/>
  <c r="B56" i="2" s="1"/>
  <c r="F32" i="2"/>
  <c r="I32" i="2" s="1"/>
  <c r="C39" i="2"/>
  <c r="C47" i="2" s="1"/>
  <c r="C22" i="2"/>
  <c r="C35" i="2"/>
  <c r="E53" i="3" s="1"/>
  <c r="I28" i="2"/>
  <c r="C8" i="2"/>
  <c r="F10" i="2" s="1"/>
  <c r="J10" i="1"/>
  <c r="B50" i="2" s="1"/>
  <c r="C12" i="2"/>
  <c r="I24" i="2"/>
  <c r="H26" i="2"/>
  <c r="C43" i="2"/>
  <c r="I35" i="2"/>
  <c r="I33" i="2" l="1"/>
  <c r="I34" i="2"/>
  <c r="I31" i="2" s="1"/>
  <c r="C17" i="2" s="1"/>
  <c r="E56" i="2"/>
  <c r="J14" i="1"/>
  <c r="F11" i="2"/>
  <c r="C29" i="2"/>
  <c r="C28" i="2"/>
  <c r="C21" i="2"/>
  <c r="C31" i="2" l="1"/>
  <c r="C24" i="2"/>
  <c r="F68" i="2" s="1"/>
  <c r="C45" i="2"/>
  <c r="F69" i="2" l="1"/>
  <c r="C42" i="2" s="1"/>
  <c r="F13" i="2" l="1"/>
  <c r="F70" i="2" l="1"/>
  <c r="B73" i="2"/>
  <c r="G12" i="2"/>
  <c r="G13" i="2" s="1"/>
  <c r="I16" i="2" s="1"/>
  <c r="H15" i="2"/>
  <c r="F15" i="2"/>
  <c r="F16" i="2"/>
  <c r="H16" i="2"/>
  <c r="G16" i="2" l="1"/>
  <c r="G15" i="2"/>
  <c r="I15" i="2"/>
  <c r="B58" i="2"/>
  <c r="E61" i="2" l="1"/>
  <c r="E63" i="2" s="1"/>
  <c r="E65" i="2" s="1"/>
  <c r="G46" i="1" s="1"/>
  <c r="F19" i="2" l="1"/>
  <c r="G19" i="2"/>
  <c r="B52" i="2" s="1"/>
  <c r="B61" i="2" l="1"/>
  <c r="B63" i="2" s="1"/>
  <c r="B6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<sst xmlns="http://schemas.openxmlformats.org/spreadsheetml/2006/main" count="251" uniqueCount="194">
  <si>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</si>
  <si>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</si>
  <si>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</si>
  <si>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</si>
  <si>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</si>
  <si>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</si>
  <si>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</si>
  <si>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</si>
  <si>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</si>
  <si>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</si>
  <si>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</si>
  <si>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</si>
  <si>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</si>
  <si>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</si>
  <si>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</si>
  <si>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</si>
  <si>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</si>
  <si>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</si>
  <si>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</si>
  <si>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</si>
  <si>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</si>
  <si>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</si>
  <si>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</si>
  <si>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</si>
  <si>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</si>
  <si>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</si>
  <si>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</si>
  <si>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</si>
  <si>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</si>
  <si>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</si>
  <si>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</si>
  <si>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</si>
  <si>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</si>
  <si>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</si>
  <si>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</si>
  <si>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</si>
  <si>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</si>
  <si>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</si>
  <si>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</si>
  <si>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</si>
  <si>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</si>
  <si>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</si>
  <si>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</si>
  <si>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</si>
  <si>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</si>
  <si>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</si>
  <si>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</si>
  <si>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</si>
  <si>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</si>
  <si>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</si>
  <si>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</si>
  <si>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</si>
  <si>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</si>
  <si>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</si>
  <si>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</si>
  <si>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Product</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</si>
  <si>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</si>
  <si>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</si>
  <si>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</si>
  <si>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</si>
  <si>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</si>
  <si>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</si>
  <si>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</si>
  <si>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</si>
  <si>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</si>
  <si>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</si>
  <si>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</si>
  <si>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</si>
  <si>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</si>
  <si>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</si>
  <si>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</si>
  <si>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</si>
  <si>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</si>
  <si>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</si>
  <si>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</si>
  <si>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</si>
  <si>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</si>
  <si>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</si>
  <si>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</si>
  <si>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</si>
  <si>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</si>
  <si>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</si>
  <si>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</si>
  <si>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</si>
  <si>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</si>
  <si>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</si>
  <si>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</si>
  <si>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</si>
  <si>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</si>
  <si>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</si>
  <si>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</si>
  <si>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</si>
  <si>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</si>
  <si>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</si>
  <si>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</si>
  <si>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</si>
  <si>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</si>
  <si>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</si>
  <si>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</si>
  <si>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</si>
  <si>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</si>
  <si>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</si>
  <si>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</si>
  <si>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</si>
  <si>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</si>
  <si>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</si>
  <si>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</si>
  <si>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</si>
  <si>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</si>
  <si>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</si>
  <si>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</si>
  <si>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</si>
  <si>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</si>
  <si>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</si>
  <si>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</si>
  <si>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</si>
  <si>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</si>
  <si>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</si>
  <si>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</si>
  <si>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</si>
  <si>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</si>
  <si>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</si>
  <si>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</si>
  <si>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</si>
  <si>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</si>
  <si>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</si>
  <si>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</si>
  <si>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</si>
  <si>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</si>
  <si>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</si>
  <si>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</si>
  <si>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</si>
  <si>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</si>
  <si>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</si>
  <si>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</si>
  <si>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</si>
  <si>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</si>
  <si>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</si>
  <si>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</si>
  <si>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stressed income)</t>
  </si>
  <si>
    <t>Max Loan (cannot exceed mult value)</t>
  </si>
  <si>
    <t>**29-1-22** Should always select SVR + 1.25% instead of comparing the figures -- used to be =IF(F6&gt;F4, F6, F4)</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</si>
  <si>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</si>
  <si>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</si>
  <si>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</si>
  <si>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</si>
  <si>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</si>
  <si>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</si>
  <si>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</si>
  <si>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</si>
  <si>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</si>
  <si>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</si>
  <si>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</si>
  <si>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</si>
  <si>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</si>
  <si>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</si>
  <si>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</si>
  <si>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</si>
  <si>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</si>
  <si>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</si>
  <si>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</si>
  <si>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</si>
  <si>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</si>
  <si>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</si>
  <si>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</si>
  <si>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</si>
  <si>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</si>
  <si>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</si>
  <si>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</si>
  <si>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</si>
  <si>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</si>
  <si>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</si>
  <si>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</si>
  <si>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</si>
  <si>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</si>
  <si>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</si>
  <si>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</si>
  <si>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</si>
  <si>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</si>
  <si>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</si>
  <si>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</si>
  <si>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</si>
  <si>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</si>
  <si>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</si>
  <si>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</si>
  <si>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 xml:space="preserve">Please include all gross annual income in the relevant field in the table below. 
Benefit income needs to be annualised and included in the 'Guaranteed Annual Income' field </t>
  </si>
  <si>
    <t>Affordability Calculator</t>
  </si>
  <si>
    <t>Based on disposable income (with LTV/Income multiple limits), your client/s could borrow up to:</t>
  </si>
  <si>
    <t xml:space="preserve">The loan to value is: </t>
  </si>
  <si>
    <t>***Interest Only VERSION****</t>
  </si>
  <si>
    <t xml:space="preserve">**30-06-25** Should always select product +2% </t>
  </si>
  <si>
    <t>Max Loan (based on income multiple x5.0)</t>
  </si>
  <si>
    <t>v.3.8 - Expires 08/2025 - Please download the latest version from The Tipton website after this date</t>
  </si>
  <si>
    <t>Please input correct product rate &amp; term for affordability to be assessed correctly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</si>
</sst>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2"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i/>
      <sz val="10"/>
      <name val="Calibri"/>
      <family val="2"/>
      <scheme val="minor"/>
    </font>
    <font>
      <b/>
      <sz val="36"/>
      <name val="Calibri"/>
      <family val="2"/>
      <scheme val="minor"/>
    </font>
    <font>
      <b/>
      <sz val="8"/>
      <color theme="1"/>
      <name val="Arial"/>
      <family val="2"/>
    </font>
    <font>
      <i/>
      <sz val="12"/>
      <name val="Calibri"/>
      <family val="2"/>
      <scheme val="minor"/>
    </font>
    <font>
      <sz val="12"/>
      <name val="Calibri"/>
      <family val="2"/>
      <scheme val="minor"/>
    </font>
    <font>
      <b/>
      <sz val="28"/>
      <name val="Calibri"/>
      <family val="2"/>
      <scheme val="minor"/>
    </font>
    <font>
      <b/>
      <sz val="18"/>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E6B8B7"/>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6">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4" fillId="0" borderId="6" xfId="2" applyNumberFormat="1" applyFont="1" applyBorder="1" applyAlignment="1" applyProtection="1">
      <alignment horizontal="right"/>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1" fillId="0" borderId="0" xfId="0" applyFont="1" applyAlignment="1" applyProtection="1">
      <alignment horizontal="right"/>
      <protection hidden="1"/>
    </xf>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4" borderId="35" xfId="0" applyNumberFormat="1" applyFill="1" applyBorder="1"/>
    <xf numFmtId="164" fontId="0" fillId="15" borderId="9" xfId="0" applyNumberFormat="1" applyFill="1" applyBorder="1"/>
    <xf numFmtId="164" fontId="0" fillId="15" borderId="35" xfId="0" applyNumberFormat="1" applyFill="1" applyBorder="1"/>
    <xf numFmtId="0" fontId="0" fillId="15" borderId="0" xfId="0" applyFill="1"/>
    <xf numFmtId="0" fontId="0" fillId="14" borderId="0" xfId="0" applyFill="1"/>
    <xf numFmtId="164" fontId="0" fillId="16" borderId="9" xfId="0" applyNumberFormat="1" applyFill="1" applyBorder="1"/>
    <xf numFmtId="0" fontId="1" fillId="15" borderId="8" xfId="0" applyFont="1" applyFill="1" applyBorder="1"/>
    <xf numFmtId="0" fontId="1" fillId="14" borderId="8" xfId="0" applyFont="1" applyFill="1" applyBorder="1"/>
    <xf numFmtId="0" fontId="1" fillId="14" borderId="0" xfId="0" applyFont="1" applyFill="1"/>
    <xf numFmtId="0" fontId="1" fillId="15"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10" fontId="0" fillId="2" borderId="10" xfId="0" applyNumberFormat="1" applyFill="1" applyBorder="1" applyAlignment="1" applyProtection="1">
      <alignment horizontal="center" vertical="center" wrapText="1"/>
      <protection hidden="1"/>
    </xf>
    <xf numFmtId="10" fontId="0" fillId="2" borderId="11" xfId="0" applyNumberFormat="1" applyFill="1" applyBorder="1" applyAlignment="1" applyProtection="1">
      <alignment horizontal="center" vertical="center" wrapText="1"/>
      <protection hidden="1"/>
    </xf>
    <xf numFmtId="10" fontId="2" fillId="17" borderId="11" xfId="0" applyNumberFormat="1" applyFont="1" applyFill="1" applyBorder="1" applyAlignment="1" applyProtection="1">
      <alignment horizontal="center" vertical="center" wrapText="1"/>
      <protection locked="0" hidden="1"/>
    </xf>
    <xf numFmtId="1" fontId="2" fillId="17" borderId="10" xfId="0" applyNumberFormat="1" applyFont="1" applyFill="1" applyBorder="1" applyAlignment="1" applyProtection="1">
      <alignment horizontal="center" vertical="center"/>
      <protection locked="0" hidden="1"/>
    </xf>
    <xf numFmtId="44" fontId="0" fillId="0" borderId="0" xfId="1" applyFont="1" applyBorder="1" applyAlignment="1" applyProtection="1">
      <alignment horizontal="center" vertical="center"/>
      <protection locked="0" hidden="1"/>
    </xf>
    <xf numFmtId="44" fontId="1" fillId="0" borderId="0" xfId="1" applyFont="1" applyBorder="1" applyAlignment="1" applyProtection="1">
      <alignment horizontal="center" vertical="center" wrapText="1"/>
      <protection locked="0" hidden="1"/>
    </xf>
    <xf numFmtId="0" fontId="0" fillId="3" borderId="0" xfId="0" applyFill="1" applyAlignment="1" applyProtection="1">
      <alignment horizontal="center"/>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protection hidden="1"/>
    </xf>
    <xf numFmtId="0" fontId="39" fillId="3" borderId="0" xfId="0" applyFont="1" applyFill="1" applyAlignment="1" applyProtection="1">
      <alignment horizontal="right" vertical="center"/>
      <protection hidden="1"/>
    </xf>
    <xf numFmtId="10" fontId="41" fillId="2" borderId="0" xfId="0" applyNumberFormat="1" applyFont="1" applyFill="1" applyAlignment="1" applyProtection="1">
      <alignment horizontal="center" vertical="center"/>
      <protection hidden="1"/>
    </xf>
    <xf numFmtId="0" fontId="38" fillId="3" borderId="0" xfId="0" applyFont="1" applyFill="1" applyAlignment="1" applyProtection="1">
      <alignment horizontal="center" vertical="center"/>
      <protection hidden="1"/>
    </xf>
    <xf numFmtId="0" fontId="0" fillId="3" borderId="14" xfId="0" applyFill="1" applyBorder="1" applyAlignment="1" applyProtection="1">
      <alignment horizontal="center"/>
      <protection hidden="1"/>
    </xf>
    <xf numFmtId="0" fontId="39" fillId="3" borderId="0" xfId="0" applyFont="1" applyFill="1" applyAlignment="1" applyProtection="1">
      <alignment horizontal="center" vertical="center" wrapText="1"/>
      <protection hidden="1"/>
    </xf>
    <xf numFmtId="164" fontId="40" fillId="2" borderId="0" xfId="1" applyNumberFormat="1" applyFont="1" applyFill="1" applyBorder="1" applyAlignment="1" applyProtection="1">
      <alignment horizontal="center" vertical="center"/>
      <protection hidden="1"/>
    </xf>
    <xf numFmtId="0" fontId="2" fillId="17" borderId="16" xfId="0" applyFont="1" applyFill="1" applyBorder="1" applyAlignment="1">
      <alignment horizontal="center" vertical="center"/>
    </xf>
    <xf numFmtId="0" fontId="2" fillId="2" borderId="10" xfId="0" applyFont="1" applyFill="1" applyBorder="1" applyAlignment="1" applyProtection="1">
      <alignment horizontal="left"/>
      <protection hidden="1"/>
    </xf>
    <xf numFmtId="0" fontId="1" fillId="0" borderId="10" xfId="0" applyFont="1" applyBorder="1" applyAlignment="1" applyProtection="1">
      <alignment horizontal="left"/>
      <protection hidden="1"/>
    </xf>
    <xf numFmtId="0" fontId="4" fillId="0" borderId="10" xfId="0" applyFont="1" applyBorder="1" applyAlignment="1" applyProtection="1">
      <alignment horizontal="left"/>
      <protection hidden="1"/>
    </xf>
    <xf numFmtId="0" fontId="26" fillId="6" borderId="0" xfId="0" applyFont="1" applyFill="1" applyAlignment="1" applyProtection="1">
      <alignment horizontal="left" vertical="center"/>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44" fontId="30" fillId="2" borderId="10" xfId="0" applyNumberFormat="1" applyFont="1" applyFill="1" applyBorder="1" applyAlignment="1" applyProtection="1">
      <alignment horizontal="center" vertical="center"/>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1" fillId="0" borderId="10" xfId="0" applyFont="1" applyBorder="1" applyAlignment="1" applyProtection="1">
      <alignment horizontal="left"/>
      <protection locked="0"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locked="0" hidden="1"/>
    </xf>
    <xf numFmtId="0" fontId="34" fillId="3" borderId="0" xfId="0" applyFont="1" applyFill="1" applyAlignment="1" applyProtection="1">
      <alignment horizontal="center" vertical="center"/>
      <protection hidden="1"/>
    </xf>
    <xf numFmtId="164" fontId="36" fillId="12" borderId="0" xfId="1" applyNumberFormat="1" applyFont="1" applyFill="1" applyBorder="1" applyAlignment="1" applyProtection="1">
      <alignment horizontal="center" vertical="center"/>
      <protection hidden="1"/>
    </xf>
    <xf numFmtId="0" fontId="6" fillId="6" borderId="0" xfId="0" applyFont="1" applyFill="1" applyAlignment="1" applyProtection="1">
      <alignment horizontal="center" vertical="center" wrapText="1"/>
      <protection hidden="1"/>
    </xf>
    <xf numFmtId="44" fontId="31" fillId="11"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0" borderId="10" xfId="0" applyFont="1" applyBorder="1" applyAlignment="1" applyProtection="1">
      <alignment horizontal="left" vertical="center" wrapText="1"/>
      <protection locked="0" hidden="1"/>
    </xf>
    <xf numFmtId="0" fontId="2" fillId="3" borderId="10" xfId="0" applyFont="1" applyFill="1" applyBorder="1" applyAlignment="1" applyProtection="1">
      <alignment horizontal="center" vertic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0" fontId="6" fillId="0" borderId="27" xfId="0" applyFont="1" applyBorder="1" applyAlignment="1" applyProtection="1">
      <alignment horizontal="center" vertical="center" wrapText="1"/>
      <protection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0" fontId="6" fillId="0" borderId="28" xfId="0" applyFont="1" applyBorder="1" applyAlignment="1" applyProtection="1">
      <alignment horizontal="center" vertical="center" wrapText="1"/>
      <protection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12" fillId="0" borderId="43" xfId="0" applyFont="1" applyBorder="1" applyAlignment="1">
      <alignment horizontal="right"/>
    </xf>
    <xf numFmtId="0" fontId="12" fillId="0" borderId="34" xfId="0" applyFont="1" applyBorder="1" applyAlignment="1" applyProtection="1">
      <alignment horizontal="right"/>
      <protection hidden="1"/>
    </xf>
    <xf numFmtId="44" fontId="2" fillId="2" borderId="52" xfId="3" applyFont="1" applyFill="1" applyBorder="1" applyAlignment="1" applyProtection="1">
      <alignment horizontal="center" vertical="center"/>
      <protection hidden="1"/>
    </xf>
    <xf numFmtId="44" fontId="2" fillId="2" borderId="51" xfId="3" applyFont="1" applyFill="1" applyBorder="1" applyAlignment="1" applyProtection="1">
      <alignment horizontal="center"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2" fillId="2" borderId="9" xfId="3" applyFont="1" applyFill="1" applyBorder="1" applyAlignment="1" applyProtection="1">
      <alignment horizontal="center" vertical="center"/>
      <protection hidden="1"/>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3" borderId="29" xfId="0" applyNumberFormat="1" applyFill="1" applyBorder="1" applyAlignment="1">
      <alignment horizontal="center"/>
    </xf>
    <xf numFmtId="164" fontId="0" fillId="13"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6" borderId="29" xfId="0" applyNumberFormat="1" applyFill="1" applyBorder="1" applyAlignment="1">
      <alignment horizontal="center"/>
    </xf>
    <xf numFmtId="164" fontId="0" fillId="16"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35" fillId="3" borderId="0" xfId="0" applyFont="1" applyFill="1" applyAlignment="1" applyProtection="1">
      <alignment horizontal="center" vertical="center"/>
      <protection hidden="1"/>
    </xf>
    <xf numFmtId="164" fontId="0" fillId="13" borderId="31" xfId="0" applyNumberFormat="1" applyFill="1" applyBorder="1" applyAlignment="1">
      <alignment horizontal="center"/>
    </xf>
    <xf numFmtId="164" fontId="0" fillId="13" borderId="33"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164" fontId="0" fillId="12" borderId="3" xfId="0" applyNumberFormat="1" applyFill="1" applyBorder="1" applyAlignment="1">
      <alignment horizontal="center"/>
    </xf>
    <xf numFmtId="164" fontId="0" fillId="12" borderId="4"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6" fillId="0" borderId="36" xfId="0" applyFont="1" applyBorder="1" applyAlignment="1">
      <alignment horizontal="center"/>
    </xf>
    <xf numFmtId="0" fontId="6" fillId="0" borderId="39" xfId="0" applyFont="1" applyBorder="1" applyAlignment="1">
      <alignment horizontal="center"/>
    </xf>
    <xf numFmtId="10" fontId="17" fillId="2" borderId="0" xfId="0" applyNumberFormat="1" applyFont="1" applyFill="1" applyAlignment="1" applyProtection="1">
      <alignment horizontal="center" vertical="center"/>
      <protection hidden="1"/>
    </xf>
    <xf numFmtId="0" fontId="8" fillId="3" borderId="0" xfId="0" applyFont="1" applyFill="1" applyAlignment="1" applyProtection="1">
      <alignment horizontal="center" vertical="center" wrapText="1"/>
      <protection hidden="1"/>
    </xf>
    <xf numFmtId="0" fontId="1" fillId="3" borderId="0" xfId="0" applyFont="1" applyFill="1" applyAlignment="1" applyProtection="1">
      <alignment horizontal="center" vertical="center" wrapText="1"/>
      <protection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0" fontId="2" fillId="0" borderId="29" xfId="0" applyFont="1" applyBorder="1" applyAlignment="1">
      <alignment horizontal="left" vertical="top"/>
    </xf>
    <xf numFmtId="0" fontId="2" fillId="0" borderId="30" xfId="0" applyFont="1" applyBorder="1" applyAlignment="1">
      <alignment horizontal="left" vertical="top"/>
    </xf>
    <xf numFmtId="164" fontId="0" fillId="15" borderId="31" xfId="0" applyNumberFormat="1" applyFill="1" applyBorder="1" applyAlignment="1">
      <alignment horizontal="center"/>
    </xf>
    <xf numFmtId="164" fontId="0" fillId="15" borderId="33" xfId="0" applyNumberFormat="1" applyFill="1" applyBorder="1" applyAlignment="1">
      <alignment horizontal="center"/>
    </xf>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598421</xdr:colOff>
      <xdr:row>1</xdr:row>
      <xdr:rowOff>45665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362" y="202547"/>
          <a:ext cx="1127370" cy="505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file:///\\Tip-files1\tcbs\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9"/>
  <sheetViews>
    <sheetView showGridLines="0" tabSelected="1" zoomScale="90" zoomScaleNormal="90" workbookViewId="0">
      <selection activeCell="H19" sqref="H19"/>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K1" s="105" t="s">
        <v>192</v>
      </c>
    </row>
    <row r="2" spans="2:11" ht="16.05" customHeight="1" x14ac:dyDescent="0.25">
      <c r="B2" s="191" t="s">
        <v>186</v>
      </c>
      <c r="C2" s="191"/>
      <c r="D2" s="191"/>
      <c r="E2" s="191"/>
      <c r="F2" s="191"/>
      <c r="G2" s="191"/>
      <c r="H2" s="191"/>
      <c r="I2" s="191"/>
      <c r="J2" s="191"/>
      <c r="K2" s="191"/>
    </row>
    <row r="3" spans="2:11" ht="15" customHeight="1" x14ac:dyDescent="0.25">
      <c r="B3" s="191"/>
      <c r="C3" s="191"/>
      <c r="D3" s="191"/>
      <c r="E3" s="191"/>
      <c r="F3" s="191"/>
      <c r="G3" s="191"/>
      <c r="H3" s="191"/>
      <c r="I3" s="191"/>
      <c r="J3" s="191"/>
      <c r="K3" s="191"/>
    </row>
    <row r="4" spans="2:11" ht="15.45" customHeight="1" x14ac:dyDescent="0.25">
      <c r="B4" s="191"/>
      <c r="C4" s="191"/>
      <c r="D4" s="191"/>
      <c r="E4" s="191"/>
      <c r="F4" s="191"/>
      <c r="G4" s="191"/>
      <c r="H4" s="191"/>
      <c r="I4" s="191"/>
      <c r="J4" s="191"/>
      <c r="K4" s="191"/>
    </row>
    <row r="5" spans="2:11" ht="9.4499999999999993" customHeight="1" x14ac:dyDescent="0.25">
      <c r="B5" s="56"/>
      <c r="C5" s="56"/>
      <c r="D5" s="56"/>
      <c r="E5" s="56"/>
      <c r="F5" s="56"/>
      <c r="G5" s="56"/>
      <c r="H5" s="56"/>
    </row>
    <row r="6" spans="2:11" ht="15" customHeight="1" x14ac:dyDescent="0.25">
      <c r="B6" s="225" t="s">
        <v>185</v>
      </c>
      <c r="C6" s="225"/>
      <c r="D6" s="225"/>
      <c r="E6" s="225"/>
      <c r="F6" s="225"/>
      <c r="G6" s="225"/>
      <c r="H6" s="225"/>
      <c r="I6" s="225"/>
      <c r="J6" s="225"/>
      <c r="K6" s="225"/>
    </row>
    <row r="7" spans="2:11" ht="9.4499999999999993" customHeight="1" x14ac:dyDescent="0.25">
      <c r="B7" s="225"/>
      <c r="C7" s="225"/>
      <c r="D7" s="225"/>
      <c r="E7" s="225"/>
      <c r="F7" s="225"/>
      <c r="G7" s="225"/>
      <c r="H7" s="225"/>
      <c r="I7" s="225"/>
      <c r="J7" s="225"/>
      <c r="K7" s="225"/>
    </row>
    <row r="8" spans="2:11" customFormat="1" ht="9.4499999999999993" customHeight="1" x14ac:dyDescent="0.25"/>
    <row r="9" spans="2:11" ht="46.2" customHeight="1" x14ac:dyDescent="0.25">
      <c r="B9" s="36"/>
      <c r="C9" s="36"/>
      <c r="D9" s="122" t="s">
        <v>103</v>
      </c>
      <c r="E9" s="122" t="s">
        <v>182</v>
      </c>
      <c r="F9" s="123" t="s">
        <v>183</v>
      </c>
      <c r="G9" s="123" t="s">
        <v>184</v>
      </c>
      <c r="H9" s="122" t="s">
        <v>79</v>
      </c>
      <c r="J9" s="192" t="s">
        <v>104</v>
      </c>
      <c r="K9" s="193"/>
    </row>
    <row r="10" spans="2:11" ht="12.45" customHeight="1" x14ac:dyDescent="0.25">
      <c r="B10" s="196" t="s">
        <v>95</v>
      </c>
      <c r="C10" s="197"/>
      <c r="D10" s="204"/>
      <c r="E10" s="194">
        <v>0</v>
      </c>
      <c r="F10" s="194">
        <v>0</v>
      </c>
      <c r="G10" s="202">
        <v>0</v>
      </c>
      <c r="H10" s="200">
        <f>IF(_App1&lt;&gt;"", (G10/2)+E10+F10, 0)</f>
        <v>0</v>
      </c>
      <c r="J10" s="206">
        <f>H10+H12+H14+H16</f>
        <v>0</v>
      </c>
      <c r="K10" s="206"/>
    </row>
    <row r="11" spans="2:11" ht="12.45" customHeight="1" x14ac:dyDescent="0.25">
      <c r="B11" s="198"/>
      <c r="C11" s="199"/>
      <c r="D11" s="205"/>
      <c r="E11" s="195"/>
      <c r="F11" s="195"/>
      <c r="G11" s="203"/>
      <c r="H11" s="201"/>
      <c r="J11" s="206"/>
      <c r="K11" s="206"/>
    </row>
    <row r="12" spans="2:11" x14ac:dyDescent="0.25">
      <c r="B12" s="196" t="s">
        <v>96</v>
      </c>
      <c r="C12" s="197"/>
      <c r="D12" s="204"/>
      <c r="E12" s="194">
        <v>0</v>
      </c>
      <c r="F12" s="194">
        <v>0</v>
      </c>
      <c r="G12" s="202">
        <v>0</v>
      </c>
      <c r="H12" s="200">
        <f>IF(_App2&lt;&gt;"", (G12/2)+E12+F12,0)</f>
        <v>0</v>
      </c>
      <c r="J12" s="174" t="s">
        <v>159</v>
      </c>
      <c r="K12" s="175"/>
    </row>
    <row r="13" spans="2:11" ht="12.45" customHeight="1" x14ac:dyDescent="0.25">
      <c r="B13" s="198"/>
      <c r="C13" s="199"/>
      <c r="D13" s="205"/>
      <c r="E13" s="195"/>
      <c r="F13" s="195"/>
      <c r="G13" s="203"/>
      <c r="H13" s="201"/>
      <c r="J13" s="176"/>
      <c r="K13" s="177"/>
    </row>
    <row r="14" spans="2:11" ht="12.45" customHeight="1" x14ac:dyDescent="0.25">
      <c r="B14" s="196" t="s">
        <v>97</v>
      </c>
      <c r="C14" s="197"/>
      <c r="D14" s="204"/>
      <c r="E14" s="194">
        <v>0</v>
      </c>
      <c r="F14" s="194">
        <v>0</v>
      </c>
      <c r="G14" s="202">
        <v>0</v>
      </c>
      <c r="H14" s="200">
        <f>IF(_App3&lt;&gt;"", (G14/2)+E14+F14,0)</f>
        <v>0</v>
      </c>
      <c r="J14" s="226">
        <f>MaxLoanMult</f>
        <v>0</v>
      </c>
      <c r="K14" s="226"/>
    </row>
    <row r="15" spans="2:11" ht="12.45" customHeight="1" x14ac:dyDescent="0.25">
      <c r="B15" s="198"/>
      <c r="C15" s="199"/>
      <c r="D15" s="205"/>
      <c r="E15" s="195"/>
      <c r="F15" s="195"/>
      <c r="G15" s="203"/>
      <c r="H15" s="201"/>
      <c r="J15" s="226"/>
      <c r="K15" s="226"/>
    </row>
    <row r="16" spans="2:11" ht="12.45" customHeight="1" x14ac:dyDescent="0.25">
      <c r="B16" s="196" t="s">
        <v>98</v>
      </c>
      <c r="C16" s="197"/>
      <c r="D16" s="204"/>
      <c r="E16" s="194">
        <v>0</v>
      </c>
      <c r="F16" s="194">
        <v>0</v>
      </c>
      <c r="G16" s="202">
        <v>0</v>
      </c>
      <c r="H16" s="200">
        <f>IF(_App4&lt;&gt;"", (G16/2)+E16+F16, 0)</f>
        <v>0</v>
      </c>
      <c r="J16" s="227" t="s">
        <v>160</v>
      </c>
      <c r="K16" s="228"/>
    </row>
    <row r="17" spans="1:17" ht="12.45" customHeight="1" x14ac:dyDescent="0.25">
      <c r="B17" s="198"/>
      <c r="C17" s="199"/>
      <c r="D17" s="205"/>
      <c r="E17" s="195"/>
      <c r="F17" s="195"/>
      <c r="G17" s="203"/>
      <c r="H17" s="201"/>
      <c r="J17" s="227"/>
      <c r="K17" s="228"/>
    </row>
    <row r="18" spans="1:17" ht="6" customHeight="1" x14ac:dyDescent="0.25">
      <c r="B18" s="37"/>
      <c r="C18" s="37"/>
      <c r="D18" s="163"/>
      <c r="E18" s="164"/>
      <c r="F18" s="164"/>
      <c r="G18" s="39"/>
      <c r="H18" s="39"/>
      <c r="J18" s="227"/>
      <c r="K18" s="228"/>
    </row>
    <row r="19" spans="1:17" ht="26.55" customHeight="1" x14ac:dyDescent="0.25">
      <c r="B19" s="232" t="s">
        <v>9</v>
      </c>
      <c r="C19" s="232"/>
      <c r="D19" s="232"/>
      <c r="E19" s="51" t="s">
        <v>99</v>
      </c>
      <c r="F19" s="143">
        <v>0</v>
      </c>
      <c r="G19" s="51" t="s">
        <v>100</v>
      </c>
      <c r="H19" s="143">
        <v>0</v>
      </c>
      <c r="I19" s="128"/>
      <c r="J19" s="229"/>
      <c r="K19" s="230"/>
    </row>
    <row r="20" spans="1:17" ht="6.6" customHeight="1" x14ac:dyDescent="0.25">
      <c r="B20" s="55"/>
      <c r="C20" s="52"/>
      <c r="D20" s="165"/>
      <c r="F20" s="165"/>
      <c r="G20" s="37"/>
      <c r="H20" s="165"/>
      <c r="J20" s="37"/>
      <c r="K20" s="166"/>
    </row>
    <row r="21" spans="1:17" ht="25.05" hidden="1" customHeight="1" x14ac:dyDescent="0.25">
      <c r="B21" s="232" t="s">
        <v>80</v>
      </c>
      <c r="C21" s="232"/>
      <c r="D21" s="232"/>
      <c r="E21" s="231"/>
      <c r="F21" s="231"/>
      <c r="G21" s="231"/>
      <c r="H21" s="231"/>
      <c r="I21" s="231"/>
      <c r="J21" s="231"/>
      <c r="K21" s="231"/>
    </row>
    <row r="22" spans="1:17" ht="6.75" hidden="1" customHeight="1" x14ac:dyDescent="0.25">
      <c r="B22" s="23"/>
      <c r="C22" s="20"/>
      <c r="D22" s="20"/>
      <c r="E22" s="20"/>
      <c r="F22" s="20"/>
      <c r="G22" s="20"/>
      <c r="H22" s="20"/>
      <c r="J22" s="20"/>
      <c r="K22" s="20"/>
    </row>
    <row r="23" spans="1:17" ht="27" customHeight="1" x14ac:dyDescent="0.25">
      <c r="A23" s="24" t="s">
        <v>49</v>
      </c>
      <c r="B23" s="178" t="s">
        <v>101</v>
      </c>
      <c r="C23" s="178"/>
      <c r="D23" s="178"/>
      <c r="E23" s="222" t="s">
        <v>81</v>
      </c>
      <c r="F23" s="222"/>
      <c r="G23" s="222"/>
      <c r="H23" s="222"/>
      <c r="I23" s="222"/>
      <c r="J23" s="222"/>
      <c r="K23" s="222"/>
      <c r="L23" s="20"/>
      <c r="M23" s="25"/>
      <c r="N23" s="25"/>
    </row>
    <row r="24" spans="1:17" ht="6.45" customHeight="1" x14ac:dyDescent="0.25">
      <c r="M24"/>
    </row>
    <row r="25" spans="1:17" ht="15.45" customHeight="1" x14ac:dyDescent="0.25">
      <c r="B25" s="220" t="s">
        <v>2</v>
      </c>
      <c r="C25" s="221"/>
      <c r="D25" s="50" t="s">
        <v>82</v>
      </c>
      <c r="E25" s="51" t="s">
        <v>55</v>
      </c>
      <c r="F25" s="140" t="s">
        <v>83</v>
      </c>
      <c r="G25" s="51" t="s">
        <v>133</v>
      </c>
      <c r="H25" s="51" t="s">
        <v>10</v>
      </c>
      <c r="I25" s="178" t="s">
        <v>155</v>
      </c>
      <c r="J25" s="178"/>
      <c r="K25" s="178"/>
      <c r="N25"/>
      <c r="O25"/>
    </row>
    <row r="26" spans="1:17" ht="18" customHeight="1" x14ac:dyDescent="0.25">
      <c r="B26" s="213">
        <v>0</v>
      </c>
      <c r="C26" s="214"/>
      <c r="D26" s="57">
        <v>0</v>
      </c>
      <c r="E26" s="169">
        <v>0</v>
      </c>
      <c r="F26" s="170">
        <v>0</v>
      </c>
      <c r="G26" s="167">
        <f>ROUND(IF(D26&lt;&gt;0, IF(LoanAmount&lt;&gt;0,  IF((LoanAmount/D26) &gt; 1, 1, (LoanAmount/D26)), 0), 0), 4)</f>
        <v>0</v>
      </c>
      <c r="H26" s="168">
        <v>7.9899999999999999E-2</v>
      </c>
      <c r="I26" s="179" t="s">
        <v>167</v>
      </c>
      <c r="J26" s="179"/>
      <c r="K26" s="179"/>
      <c r="N26" s="139"/>
      <c r="O26" s="139"/>
    </row>
    <row r="27" spans="1:17" ht="18" customHeight="1" x14ac:dyDescent="0.25">
      <c r="B27" s="171"/>
      <c r="C27" s="171"/>
      <c r="D27" s="172"/>
      <c r="E27" s="186" t="s">
        <v>193</v>
      </c>
      <c r="F27" s="186"/>
      <c r="G27" s="186"/>
      <c r="H27" s="186"/>
      <c r="I27" s="186"/>
      <c r="J27" s="186"/>
      <c r="K27" s="186"/>
      <c r="N27" s="139"/>
      <c r="O27" s="139"/>
    </row>
    <row r="28" spans="1:17" ht="10.8" customHeight="1" x14ac:dyDescent="0.25"/>
    <row r="29" spans="1:17" ht="16.5" customHeight="1" x14ac:dyDescent="0.25">
      <c r="B29" s="218" t="s">
        <v>175</v>
      </c>
      <c r="C29" s="218"/>
      <c r="D29" s="218"/>
      <c r="E29" s="218"/>
      <c r="F29" s="41"/>
      <c r="G29" s="190" t="s">
        <v>164</v>
      </c>
      <c r="H29" s="190"/>
      <c r="I29" s="190"/>
      <c r="J29" s="190"/>
      <c r="K29" s="190"/>
      <c r="M29"/>
      <c r="N29"/>
      <c r="O29"/>
      <c r="P29"/>
      <c r="Q29"/>
    </row>
    <row r="30" spans="1:17" ht="13.8" x14ac:dyDescent="0.25">
      <c r="B30" s="219"/>
      <c r="C30" s="219"/>
      <c r="D30" s="219"/>
      <c r="E30" s="219"/>
      <c r="F30" s="14"/>
      <c r="G30" s="190"/>
      <c r="H30" s="190"/>
      <c r="I30" s="190"/>
      <c r="J30" s="190"/>
      <c r="K30" s="190"/>
      <c r="M30"/>
      <c r="N30"/>
      <c r="O30"/>
      <c r="P30"/>
      <c r="Q30"/>
    </row>
    <row r="31" spans="1:17" ht="14.25" customHeight="1" x14ac:dyDescent="0.25">
      <c r="B31" s="189" t="s">
        <v>51</v>
      </c>
      <c r="C31" s="189"/>
      <c r="D31" s="189"/>
      <c r="E31" s="27">
        <v>0</v>
      </c>
      <c r="G31" s="223" t="s">
        <v>161</v>
      </c>
      <c r="H31" s="223"/>
      <c r="I31" s="223"/>
      <c r="J31" s="223"/>
      <c r="K31" s="223"/>
      <c r="M31"/>
      <c r="N31"/>
      <c r="O31"/>
      <c r="P31"/>
      <c r="Q31"/>
    </row>
    <row r="32" spans="1:17" ht="14.25" customHeight="1" x14ac:dyDescent="0.25">
      <c r="B32" s="189" t="s">
        <v>52</v>
      </c>
      <c r="C32" s="189"/>
      <c r="D32" s="189"/>
      <c r="E32" s="27">
        <v>0</v>
      </c>
      <c r="G32" s="223"/>
      <c r="H32" s="223"/>
      <c r="I32" s="223"/>
      <c r="J32" s="223"/>
      <c r="K32" s="223"/>
      <c r="M32"/>
      <c r="N32"/>
      <c r="O32"/>
      <c r="P32"/>
      <c r="Q32"/>
    </row>
    <row r="33" spans="2:24" ht="14.25" customHeight="1" x14ac:dyDescent="0.25">
      <c r="B33" s="188" t="s">
        <v>84</v>
      </c>
      <c r="C33" s="189"/>
      <c r="D33" s="189"/>
      <c r="E33" s="27">
        <v>0</v>
      </c>
      <c r="G33" s="224" t="str">
        <f>IF(Income&lt;=0, "Enter Income",IF(AND(Income&lt;&gt;"", DisposableIncomePercentage &gt;= 0), RealFinalAmount, "N/A"))</f>
        <v>Enter Income</v>
      </c>
      <c r="H33" s="224"/>
      <c r="I33" s="224"/>
      <c r="J33" s="224"/>
      <c r="K33" s="224"/>
      <c r="M33" s="58"/>
      <c r="N33"/>
      <c r="O33"/>
      <c r="P33"/>
      <c r="Q33"/>
    </row>
    <row r="34" spans="2:24" ht="14.25" customHeight="1" x14ac:dyDescent="0.25">
      <c r="B34" s="188" t="s">
        <v>85</v>
      </c>
      <c r="C34" s="189"/>
      <c r="D34" s="189"/>
      <c r="E34" s="27">
        <v>0</v>
      </c>
      <c r="G34" s="224"/>
      <c r="H34" s="224"/>
      <c r="I34" s="224"/>
      <c r="J34" s="224"/>
      <c r="K34" s="224"/>
      <c r="M34"/>
      <c r="N34"/>
      <c r="O34"/>
      <c r="P34"/>
      <c r="Q34"/>
    </row>
    <row r="35" spans="2:24" ht="14.25" customHeight="1" x14ac:dyDescent="0.25">
      <c r="B35" s="188" t="s">
        <v>125</v>
      </c>
      <c r="C35" s="189"/>
      <c r="D35" s="189"/>
      <c r="E35" s="53">
        <v>0</v>
      </c>
      <c r="G35" s="224"/>
      <c r="H35" s="224"/>
      <c r="I35" s="224"/>
      <c r="J35" s="224"/>
      <c r="K35" s="224"/>
      <c r="M35"/>
      <c r="N35"/>
      <c r="O35"/>
      <c r="P35"/>
      <c r="Q35"/>
    </row>
    <row r="36" spans="2:24" ht="14.25" customHeight="1" x14ac:dyDescent="0.25">
      <c r="B36" s="188" t="s">
        <v>11</v>
      </c>
      <c r="C36" s="189"/>
      <c r="D36" s="189"/>
      <c r="E36" s="53">
        <v>0</v>
      </c>
      <c r="G36" s="224"/>
      <c r="H36" s="224"/>
      <c r="I36" s="224"/>
      <c r="J36" s="224"/>
      <c r="K36" s="224"/>
      <c r="M36"/>
      <c r="N36"/>
      <c r="O36"/>
      <c r="P36"/>
      <c r="Q36"/>
    </row>
    <row r="37" spans="2:24" ht="14.25" customHeight="1" x14ac:dyDescent="0.25">
      <c r="B37" s="189" t="s">
        <v>12</v>
      </c>
      <c r="C37" s="189"/>
      <c r="D37" s="189"/>
      <c r="E37" s="53">
        <v>0</v>
      </c>
      <c r="G37" s="224"/>
      <c r="H37" s="224"/>
      <c r="I37" s="224"/>
      <c r="J37" s="224"/>
      <c r="K37" s="224"/>
      <c r="M37"/>
      <c r="N37"/>
      <c r="O37"/>
      <c r="P37"/>
      <c r="Q37"/>
    </row>
    <row r="38" spans="2:24" ht="14.25" customHeight="1" x14ac:dyDescent="0.25">
      <c r="B38" s="210" t="s">
        <v>92</v>
      </c>
      <c r="C38" s="211"/>
      <c r="D38" s="124"/>
      <c r="E38" s="27">
        <v>0</v>
      </c>
      <c r="G38" s="182" t="s">
        <v>132</v>
      </c>
      <c r="H38" s="182"/>
      <c r="I38" s="182"/>
      <c r="J38" s="182"/>
      <c r="K38" s="182"/>
    </row>
    <row r="39" spans="2:24" ht="14.25" customHeight="1" x14ac:dyDescent="0.25">
      <c r="B39" s="187" t="s">
        <v>38</v>
      </c>
      <c r="C39" s="187"/>
      <c r="D39" s="187"/>
      <c r="E39" s="26">
        <f>SUM((E31:E34),(E35/2),(E36/2),(E37/2),E38)</f>
        <v>0</v>
      </c>
      <c r="G39" s="182"/>
      <c r="H39" s="182"/>
      <c r="I39" s="182"/>
      <c r="J39" s="182"/>
      <c r="K39" s="182"/>
    </row>
    <row r="40" spans="2:24" ht="13.8" customHeight="1" x14ac:dyDescent="0.25">
      <c r="F40" s="16"/>
      <c r="G40" s="183"/>
      <c r="H40" s="183"/>
      <c r="I40" s="183"/>
      <c r="J40" s="183"/>
      <c r="K40" s="183"/>
      <c r="N40"/>
      <c r="O40"/>
      <c r="P40"/>
      <c r="Q40"/>
    </row>
    <row r="41" spans="2:24" ht="15.45" customHeight="1" x14ac:dyDescent="0.25">
      <c r="B41" s="215" t="s">
        <v>153</v>
      </c>
      <c r="C41" s="215"/>
      <c r="D41" s="215"/>
      <c r="E41" s="215"/>
      <c r="G41" s="173"/>
      <c r="H41" s="173"/>
      <c r="I41" s="173"/>
      <c r="J41" s="173"/>
      <c r="K41" s="173"/>
      <c r="T41"/>
      <c r="U41"/>
      <c r="V41"/>
      <c r="W41"/>
      <c r="X41"/>
    </row>
    <row r="42" spans="2:24" ht="13.2" customHeight="1" x14ac:dyDescent="0.25">
      <c r="B42" s="216"/>
      <c r="C42" s="216"/>
      <c r="D42" s="216"/>
      <c r="E42" s="216"/>
      <c r="G42" s="173"/>
      <c r="H42" s="173"/>
      <c r="I42" s="173"/>
      <c r="J42" s="173"/>
      <c r="K42" s="173"/>
      <c r="T42"/>
      <c r="U42"/>
      <c r="V42"/>
      <c r="W42"/>
      <c r="X42"/>
    </row>
    <row r="43" spans="2:24" ht="14.25" customHeight="1" x14ac:dyDescent="0.25">
      <c r="B43" s="188" t="s">
        <v>44</v>
      </c>
      <c r="C43" s="188"/>
      <c r="D43" s="188"/>
      <c r="E43" s="27">
        <v>0</v>
      </c>
      <c r="G43" s="184" t="s">
        <v>187</v>
      </c>
      <c r="H43" s="184"/>
      <c r="I43" s="184"/>
      <c r="J43" s="184"/>
      <c r="K43" s="184"/>
      <c r="T43"/>
      <c r="U43"/>
      <c r="V43"/>
      <c r="W43"/>
      <c r="X43"/>
    </row>
    <row r="44" spans="2:24" ht="14.55" customHeight="1" x14ac:dyDescent="0.25">
      <c r="B44" s="212" t="s">
        <v>47</v>
      </c>
      <c r="C44" s="212"/>
      <c r="D44" s="212"/>
      <c r="E44" s="208">
        <f>CreditCardBalances*3%</f>
        <v>0</v>
      </c>
      <c r="G44" s="184"/>
      <c r="H44" s="184"/>
      <c r="I44" s="184"/>
      <c r="J44" s="184"/>
      <c r="K44" s="184"/>
      <c r="T44"/>
      <c r="U44"/>
      <c r="V44"/>
      <c r="W44"/>
      <c r="X44"/>
    </row>
    <row r="45" spans="2:24" ht="13.95" customHeight="1" x14ac:dyDescent="0.25">
      <c r="B45" s="212"/>
      <c r="C45" s="212"/>
      <c r="D45" s="212"/>
      <c r="E45" s="209"/>
      <c r="G45" s="184"/>
      <c r="H45" s="184"/>
      <c r="I45" s="184"/>
      <c r="J45" s="184"/>
      <c r="K45" s="184"/>
      <c r="T45"/>
      <c r="U45"/>
      <c r="V45"/>
      <c r="W45"/>
      <c r="X45"/>
    </row>
    <row r="46" spans="2:24" ht="14.25" customHeight="1" x14ac:dyDescent="0.25">
      <c r="B46" s="217" t="s">
        <v>76</v>
      </c>
      <c r="C46" s="217"/>
      <c r="D46" s="217"/>
      <c r="E46" s="27">
        <v>0</v>
      </c>
      <c r="G46" s="185">
        <f>ZeroPercentageMaxLoan</f>
        <v>0</v>
      </c>
      <c r="H46" s="185"/>
      <c r="I46" s="185"/>
      <c r="J46" s="185"/>
      <c r="K46" s="185"/>
      <c r="R46" s="142"/>
      <c r="S46" s="142"/>
      <c r="T46" s="142"/>
      <c r="U46" s="142"/>
      <c r="V46" s="142"/>
      <c r="W46" s="142"/>
    </row>
    <row r="47" spans="2:24" ht="14.25" customHeight="1" x14ac:dyDescent="0.25">
      <c r="B47" s="217" t="s">
        <v>76</v>
      </c>
      <c r="C47" s="217"/>
      <c r="D47" s="217"/>
      <c r="E47" s="27">
        <v>0</v>
      </c>
      <c r="G47" s="185"/>
      <c r="H47" s="185"/>
      <c r="I47" s="185"/>
      <c r="J47" s="185"/>
      <c r="K47" s="185"/>
      <c r="R47" s="142"/>
      <c r="S47" s="142"/>
      <c r="T47" s="142"/>
      <c r="U47" s="142"/>
      <c r="V47" s="142"/>
      <c r="W47" s="142"/>
    </row>
    <row r="48" spans="2:24" ht="14.25" customHeight="1" x14ac:dyDescent="0.25">
      <c r="B48" s="217" t="s">
        <v>76</v>
      </c>
      <c r="C48" s="217"/>
      <c r="D48" s="217"/>
      <c r="E48" s="27">
        <v>0</v>
      </c>
      <c r="G48" s="185"/>
      <c r="H48" s="185"/>
      <c r="I48" s="185"/>
      <c r="J48" s="185"/>
      <c r="K48" s="185"/>
      <c r="R48" s="142"/>
      <c r="S48" s="142"/>
      <c r="T48" s="142"/>
      <c r="U48" s="142"/>
      <c r="V48" s="142"/>
      <c r="W48" s="142"/>
    </row>
    <row r="49" spans="2:23" ht="14.25" customHeight="1" x14ac:dyDescent="0.25">
      <c r="B49" s="217" t="s">
        <v>76</v>
      </c>
      <c r="C49" s="217"/>
      <c r="D49" s="217"/>
      <c r="E49" s="27">
        <v>0</v>
      </c>
      <c r="G49" s="185"/>
      <c r="H49" s="185"/>
      <c r="I49" s="185"/>
      <c r="J49" s="185"/>
      <c r="K49" s="185"/>
      <c r="S49" s="142"/>
      <c r="T49" s="142"/>
      <c r="U49" s="142"/>
      <c r="V49" s="142"/>
      <c r="W49" s="142"/>
    </row>
    <row r="50" spans="2:23" ht="14.25" customHeight="1" x14ac:dyDescent="0.25">
      <c r="B50" s="217" t="s">
        <v>76</v>
      </c>
      <c r="C50" s="217"/>
      <c r="D50" s="217"/>
      <c r="E50" s="27">
        <v>0</v>
      </c>
      <c r="G50" s="173"/>
      <c r="H50" s="173"/>
      <c r="I50" s="173"/>
      <c r="J50" s="173"/>
      <c r="K50" s="173"/>
      <c r="O50"/>
      <c r="P50"/>
      <c r="Q50"/>
      <c r="S50" s="142"/>
      <c r="T50" s="142"/>
      <c r="U50" s="142"/>
      <c r="V50" s="142"/>
      <c r="W50" s="142"/>
    </row>
    <row r="51" spans="2:23" ht="14.25" customHeight="1" x14ac:dyDescent="0.25">
      <c r="B51" s="217" t="s">
        <v>76</v>
      </c>
      <c r="C51" s="217"/>
      <c r="D51" s="217"/>
      <c r="E51" s="27">
        <v>0</v>
      </c>
      <c r="G51" s="180" t="s">
        <v>188</v>
      </c>
      <c r="H51" s="180"/>
      <c r="I51" s="180"/>
      <c r="J51" s="180"/>
      <c r="K51" s="181">
        <f>G26</f>
        <v>0</v>
      </c>
      <c r="M51"/>
      <c r="N51"/>
      <c r="O51"/>
      <c r="P51"/>
      <c r="Q51"/>
      <c r="S51" s="15"/>
    </row>
    <row r="52" spans="2:23" ht="14.25" customHeight="1" x14ac:dyDescent="0.25">
      <c r="B52" s="217" t="s">
        <v>76</v>
      </c>
      <c r="C52" s="217"/>
      <c r="D52" s="217"/>
      <c r="E52" s="27">
        <v>0</v>
      </c>
      <c r="G52" s="180"/>
      <c r="H52" s="180"/>
      <c r="I52" s="180"/>
      <c r="J52" s="180"/>
      <c r="K52" s="181"/>
      <c r="S52" s="15"/>
    </row>
    <row r="53" spans="2:23" ht="14.25" customHeight="1" x14ac:dyDescent="0.25">
      <c r="B53" s="210" t="s">
        <v>92</v>
      </c>
      <c r="C53" s="211"/>
      <c r="D53" s="127"/>
      <c r="E53" s="27">
        <v>0</v>
      </c>
      <c r="G53" s="173"/>
      <c r="H53" s="173"/>
      <c r="I53" s="173"/>
      <c r="J53" s="173"/>
      <c r="K53" s="173"/>
      <c r="S53" s="15"/>
    </row>
    <row r="54" spans="2:23" ht="14.25" customHeight="1" x14ac:dyDescent="0.25">
      <c r="B54" s="187" t="s">
        <v>14</v>
      </c>
      <c r="C54" s="187"/>
      <c r="D54" s="187"/>
      <c r="E54" s="26">
        <f>SUM(E44:E53)</f>
        <v>0</v>
      </c>
      <c r="G54" s="173"/>
      <c r="H54" s="173"/>
      <c r="I54" s="173"/>
      <c r="J54" s="173"/>
      <c r="K54" s="173"/>
    </row>
    <row r="55" spans="2:23" ht="5.25" customHeight="1" x14ac:dyDescent="0.25">
      <c r="B55" s="16"/>
      <c r="E55" s="17"/>
    </row>
    <row r="56" spans="2:23" ht="9" customHeight="1" x14ac:dyDescent="0.25">
      <c r="B56" s="16"/>
      <c r="E56" s="18"/>
      <c r="G56" s="19"/>
      <c r="H56" s="19"/>
      <c r="J56" s="19"/>
      <c r="K56" s="19"/>
    </row>
    <row r="57" spans="2:23" ht="12.75" customHeight="1" x14ac:dyDescent="0.25">
      <c r="B57" s="207" t="s">
        <v>61</v>
      </c>
      <c r="C57" s="207"/>
      <c r="D57" s="207"/>
      <c r="E57" s="207"/>
      <c r="F57" s="207"/>
      <c r="G57" s="207"/>
      <c r="H57" s="207"/>
      <c r="I57" s="207"/>
      <c r="J57" s="207"/>
      <c r="K57" s="207"/>
    </row>
    <row r="58" spans="2:23" ht="18" customHeight="1" x14ac:dyDescent="0.25">
      <c r="B58" s="207"/>
      <c r="C58" s="207"/>
      <c r="D58" s="207"/>
      <c r="E58" s="207"/>
      <c r="F58" s="207"/>
      <c r="G58" s="207"/>
      <c r="H58" s="207"/>
      <c r="I58" s="207"/>
      <c r="J58" s="207"/>
      <c r="K58" s="207"/>
    </row>
    <row r="59" spans="2:23" ht="7.2" customHeight="1" x14ac:dyDescent="0.25">
      <c r="B59" s="49"/>
      <c r="C59" s="49"/>
      <c r="D59" s="49"/>
      <c r="E59" s="49"/>
      <c r="F59" s="49"/>
      <c r="G59" s="49"/>
      <c r="H59" s="49"/>
      <c r="I59" s="49"/>
      <c r="J59" s="49"/>
      <c r="K59" s="49"/>
    </row>
    <row r="60" spans="2:23" x14ac:dyDescent="0.25">
      <c r="B60" s="42" t="s">
        <v>33</v>
      </c>
      <c r="C60" s="43"/>
      <c r="D60" s="43"/>
      <c r="E60" s="43"/>
      <c r="F60" s="43"/>
      <c r="G60" s="43"/>
      <c r="H60" s="43"/>
      <c r="I60" s="43"/>
      <c r="J60" s="43"/>
      <c r="K60" s="43"/>
    </row>
    <row r="61" spans="2:23" x14ac:dyDescent="0.25">
      <c r="B61" s="44" t="s">
        <v>93</v>
      </c>
      <c r="C61" s="43"/>
      <c r="D61" s="43"/>
      <c r="E61" s="43"/>
      <c r="F61" s="43"/>
      <c r="G61" s="43"/>
      <c r="H61" s="43"/>
      <c r="I61" s="43"/>
      <c r="J61" s="43"/>
      <c r="K61" s="43"/>
    </row>
    <row r="62" spans="2:23" x14ac:dyDescent="0.25">
      <c r="B62" s="44" t="s">
        <v>94</v>
      </c>
      <c r="C62" s="43"/>
      <c r="D62" s="43"/>
      <c r="E62" s="43"/>
      <c r="F62" s="43"/>
      <c r="G62" s="43"/>
      <c r="H62" s="43"/>
      <c r="I62" s="43"/>
      <c r="J62" s="43"/>
      <c r="K62" s="43"/>
    </row>
    <row r="63" spans="2:23" x14ac:dyDescent="0.25">
      <c r="B63" s="44" t="s">
        <v>87</v>
      </c>
      <c r="C63" s="44"/>
      <c r="D63" s="44"/>
      <c r="E63" s="44"/>
      <c r="F63" s="44"/>
      <c r="G63" s="43"/>
      <c r="H63" s="43"/>
      <c r="I63" s="43"/>
      <c r="J63" s="43"/>
      <c r="K63" s="43"/>
    </row>
    <row r="64" spans="2:23" x14ac:dyDescent="0.25">
      <c r="B64" s="45" t="s">
        <v>88</v>
      </c>
      <c r="C64" s="43"/>
      <c r="D64" s="43"/>
      <c r="E64" s="43"/>
      <c r="F64" s="43"/>
      <c r="G64" s="43"/>
      <c r="H64" s="43"/>
      <c r="I64" s="43"/>
      <c r="J64" s="43"/>
      <c r="K64" s="43"/>
    </row>
    <row r="65" spans="2:11" ht="12" customHeight="1" x14ac:dyDescent="0.25">
      <c r="B65" s="45" t="s">
        <v>42</v>
      </c>
      <c r="C65" s="46"/>
      <c r="D65" s="46"/>
      <c r="E65" s="46"/>
      <c r="F65" s="46"/>
      <c r="G65" s="46"/>
      <c r="H65" s="46"/>
      <c r="I65" s="43"/>
      <c r="J65" s="46"/>
      <c r="K65" s="46"/>
    </row>
    <row r="66" spans="2:11" x14ac:dyDescent="0.25">
      <c r="B66" s="44" t="s">
        <v>91</v>
      </c>
      <c r="C66" s="47"/>
      <c r="D66" s="48"/>
      <c r="E66" s="47"/>
      <c r="F66" s="47"/>
      <c r="G66" s="48"/>
      <c r="H66" s="46"/>
      <c r="I66" s="43"/>
      <c r="J66" s="46"/>
      <c r="K66" s="46"/>
    </row>
    <row r="67" spans="2:11" x14ac:dyDescent="0.25">
      <c r="B67" s="44" t="s">
        <v>89</v>
      </c>
      <c r="C67" s="47"/>
      <c r="D67" s="47"/>
      <c r="E67" s="47"/>
      <c r="F67" s="47"/>
      <c r="G67" s="47"/>
      <c r="H67" s="43"/>
      <c r="I67" s="43"/>
      <c r="J67" s="43"/>
      <c r="K67" s="43"/>
    </row>
    <row r="68" spans="2:11" x14ac:dyDescent="0.25">
      <c r="B68" s="44" t="s">
        <v>90</v>
      </c>
      <c r="C68" s="43"/>
      <c r="D68" s="43"/>
      <c r="E68" s="43"/>
      <c r="F68" s="43"/>
      <c r="G68" s="43"/>
      <c r="H68" s="43"/>
      <c r="I68" s="43"/>
      <c r="J68" s="43"/>
      <c r="K68" s="43"/>
    </row>
    <row r="69" spans="2:11" x14ac:dyDescent="0.25">
      <c r="B69"/>
      <c r="C69"/>
      <c r="D69"/>
      <c r="E69"/>
      <c r="F69"/>
      <c r="G69"/>
      <c r="H69"/>
      <c r="I69"/>
      <c r="J69"/>
      <c r="K69"/>
    </row>
  </sheetData>
  <sheetProtection algorithmName="SHA-512" hashValue="c7j5fsuyvNgOpJz9ZxaVDF3V3msZGtTipc9lXFhYMFx0+cmartdCeMHstFXOg/dQgR+K1Zq28FMEEkayDaR7Dw==" saltValue="KIGuPtjQqejRPtyketUijg==" spinCount="100000" sheet="1" selectLockedCells="1"/>
  <protectedRanges>
    <protectedRange password="95CF" sqref="E39 E54" name="Range1"/>
    <protectedRange password="95CF" sqref="X42:X45" name="Range1_1_1"/>
    <protectedRange password="95CF" sqref="G33 J34" name="Range1_1_4"/>
  </protectedRanges>
  <mergeCells count="79">
    <mergeCell ref="B6:K7"/>
    <mergeCell ref="J14:K15"/>
    <mergeCell ref="J16:K19"/>
    <mergeCell ref="E21:K21"/>
    <mergeCell ref="G16:G17"/>
    <mergeCell ref="H16:H17"/>
    <mergeCell ref="G14:G15"/>
    <mergeCell ref="F14:F15"/>
    <mergeCell ref="F16:F17"/>
    <mergeCell ref="B21:D21"/>
    <mergeCell ref="E14:E15"/>
    <mergeCell ref="E16:E17"/>
    <mergeCell ref="B16:C17"/>
    <mergeCell ref="B14:C15"/>
    <mergeCell ref="B19:D19"/>
    <mergeCell ref="D14:D15"/>
    <mergeCell ref="B52:D52"/>
    <mergeCell ref="B49:D49"/>
    <mergeCell ref="B51:D51"/>
    <mergeCell ref="B36:D36"/>
    <mergeCell ref="B23:D23"/>
    <mergeCell ref="B38:C38"/>
    <mergeCell ref="B33:D33"/>
    <mergeCell ref="B34:D34"/>
    <mergeCell ref="B37:D37"/>
    <mergeCell ref="B29:E30"/>
    <mergeCell ref="B25:C25"/>
    <mergeCell ref="B31:D31"/>
    <mergeCell ref="B43:D43"/>
    <mergeCell ref="E23:K23"/>
    <mergeCell ref="G31:K32"/>
    <mergeCell ref="G33:K37"/>
    <mergeCell ref="D16:D17"/>
    <mergeCell ref="H14:H15"/>
    <mergeCell ref="H12:H13"/>
    <mergeCell ref="J10:K11"/>
    <mergeCell ref="B57:K58"/>
    <mergeCell ref="E44:E45"/>
    <mergeCell ref="B53:C53"/>
    <mergeCell ref="B44:D45"/>
    <mergeCell ref="B26:C26"/>
    <mergeCell ref="B41:E42"/>
    <mergeCell ref="B32:D32"/>
    <mergeCell ref="B54:D54"/>
    <mergeCell ref="B50:D50"/>
    <mergeCell ref="B46:D46"/>
    <mergeCell ref="B47:D47"/>
    <mergeCell ref="B48:D48"/>
    <mergeCell ref="B39:D39"/>
    <mergeCell ref="B35:D35"/>
    <mergeCell ref="G29:K30"/>
    <mergeCell ref="B2:K4"/>
    <mergeCell ref="J9:K9"/>
    <mergeCell ref="E10:E11"/>
    <mergeCell ref="E12:E13"/>
    <mergeCell ref="B10:C11"/>
    <mergeCell ref="H10:H11"/>
    <mergeCell ref="G10:G11"/>
    <mergeCell ref="D10:D11"/>
    <mergeCell ref="D12:D13"/>
    <mergeCell ref="F10:F11"/>
    <mergeCell ref="F12:F13"/>
    <mergeCell ref="B12:C13"/>
    <mergeCell ref="G12:G13"/>
    <mergeCell ref="G54:K54"/>
    <mergeCell ref="J12:K13"/>
    <mergeCell ref="G53:K53"/>
    <mergeCell ref="I25:K25"/>
    <mergeCell ref="G50:K50"/>
    <mergeCell ref="I26:K26"/>
    <mergeCell ref="G42:K42"/>
    <mergeCell ref="G51:J52"/>
    <mergeCell ref="K51:K52"/>
    <mergeCell ref="G38:K39"/>
    <mergeCell ref="G40:K40"/>
    <mergeCell ref="G41:K41"/>
    <mergeCell ref="G43:K45"/>
    <mergeCell ref="G46:K49"/>
    <mergeCell ref="E27:K27"/>
  </mergeCells>
  <phoneticPr fontId="3" type="noConversion"/>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4"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B46:D52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topLeftCell="A32" zoomScaleNormal="100" workbookViewId="0">
      <selection activeCell="E48" sqref="E48:H50"/>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75" t="s">
        <v>40</v>
      </c>
      <c r="C2" s="275"/>
      <c r="D2" s="275"/>
      <c r="E2" s="275"/>
      <c r="F2" s="275"/>
      <c r="G2" s="275"/>
      <c r="H2" s="275"/>
    </row>
    <row r="3" spans="2:13" ht="3.75" customHeight="1" x14ac:dyDescent="0.25">
      <c r="B3" s="308"/>
      <c r="C3" s="308"/>
      <c r="D3" s="308"/>
      <c r="E3" s="308"/>
      <c r="F3" s="308"/>
      <c r="G3" s="308"/>
      <c r="H3" s="308"/>
    </row>
    <row r="4" spans="2:13" ht="36" customHeight="1" x14ac:dyDescent="0.25">
      <c r="B4" s="288" t="s">
        <v>43</v>
      </c>
      <c r="C4" s="288"/>
      <c r="D4" s="288"/>
      <c r="E4" s="288"/>
      <c r="F4" s="288"/>
      <c r="G4" s="288"/>
      <c r="H4" s="288"/>
    </row>
    <row r="5" spans="2:13" ht="15.75" customHeight="1" thickBot="1" x14ac:dyDescent="0.3">
      <c r="B5" s="307" t="s">
        <v>105</v>
      </c>
      <c r="C5" s="307"/>
      <c r="D5" s="307"/>
      <c r="E5" s="307"/>
      <c r="F5" s="307"/>
      <c r="G5" s="307"/>
      <c r="H5" s="307"/>
    </row>
    <row r="6" spans="2:13" ht="27" customHeight="1" x14ac:dyDescent="0.25">
      <c r="B6" s="276" t="s">
        <v>20</v>
      </c>
      <c r="C6" s="277"/>
      <c r="D6" s="278"/>
      <c r="E6" s="270" t="s">
        <v>108</v>
      </c>
      <c r="F6" s="270"/>
      <c r="G6" s="270" t="s">
        <v>109</v>
      </c>
      <c r="H6" s="299"/>
    </row>
    <row r="7" spans="2:13" ht="16.5" customHeight="1" x14ac:dyDescent="0.25">
      <c r="B7" s="233" t="s">
        <v>126</v>
      </c>
      <c r="C7" s="234"/>
      <c r="D7" s="235"/>
      <c r="E7" s="271">
        <v>117.65</v>
      </c>
      <c r="F7" s="272"/>
      <c r="G7" s="271">
        <v>156.47</v>
      </c>
      <c r="H7" s="272"/>
      <c r="J7" s="85"/>
    </row>
    <row r="8" spans="2:13" ht="16.5" customHeight="1" x14ac:dyDescent="0.25">
      <c r="B8" s="239" t="s">
        <v>127</v>
      </c>
      <c r="C8" s="240"/>
      <c r="D8" s="241"/>
      <c r="E8" s="268">
        <v>22.26</v>
      </c>
      <c r="F8" s="269"/>
      <c r="G8" s="268">
        <v>29.61</v>
      </c>
      <c r="H8" s="269"/>
      <c r="J8" s="85"/>
    </row>
    <row r="9" spans="2:13" ht="16.5" customHeight="1" x14ac:dyDescent="0.25">
      <c r="B9" s="236" t="s">
        <v>53</v>
      </c>
      <c r="C9" s="237"/>
      <c r="D9" s="238"/>
      <c r="E9" s="273">
        <v>30.49</v>
      </c>
      <c r="F9" s="274"/>
      <c r="G9" s="273">
        <v>40.549999999999997</v>
      </c>
      <c r="H9" s="274"/>
    </row>
    <row r="10" spans="2:13" ht="16.5" customHeight="1" x14ac:dyDescent="0.25">
      <c r="B10" s="239" t="s">
        <v>28</v>
      </c>
      <c r="C10" s="242"/>
      <c r="D10" s="243"/>
      <c r="E10" s="268">
        <v>153.91999999999999</v>
      </c>
      <c r="F10" s="269"/>
      <c r="G10" s="268">
        <v>204.72</v>
      </c>
      <c r="H10" s="269"/>
    </row>
    <row r="11" spans="2:13" ht="16.5" customHeight="1" x14ac:dyDescent="0.25">
      <c r="B11" s="236" t="s">
        <v>29</v>
      </c>
      <c r="C11" s="237"/>
      <c r="D11" s="238"/>
      <c r="E11" s="273">
        <v>58.54</v>
      </c>
      <c r="F11" s="274"/>
      <c r="G11" s="273">
        <v>77.86</v>
      </c>
      <c r="H11" s="274"/>
    </row>
    <row r="12" spans="2:13" ht="16.5" customHeight="1" x14ac:dyDescent="0.25">
      <c r="B12" s="239" t="s">
        <v>128</v>
      </c>
      <c r="C12" s="240"/>
      <c r="D12" s="241"/>
      <c r="E12" s="268">
        <v>19.27</v>
      </c>
      <c r="F12" s="269"/>
      <c r="G12" s="268">
        <v>25.63</v>
      </c>
      <c r="H12" s="269"/>
    </row>
    <row r="13" spans="2:13" ht="16.5" customHeight="1" x14ac:dyDescent="0.25">
      <c r="B13" s="236" t="s">
        <v>30</v>
      </c>
      <c r="C13" s="237"/>
      <c r="D13" s="238"/>
      <c r="E13" s="273">
        <v>137.29</v>
      </c>
      <c r="F13" s="274"/>
      <c r="G13" s="273">
        <v>182.59</v>
      </c>
      <c r="H13" s="274"/>
    </row>
    <row r="14" spans="2:13" ht="16.5" customHeight="1" x14ac:dyDescent="0.25">
      <c r="B14" s="239" t="s">
        <v>31</v>
      </c>
      <c r="C14" s="242"/>
      <c r="D14" s="243"/>
      <c r="E14" s="268">
        <v>38.72</v>
      </c>
      <c r="F14" s="269"/>
      <c r="G14" s="268">
        <v>51.5</v>
      </c>
      <c r="H14" s="269"/>
      <c r="L14" s="34"/>
      <c r="M14" s="34"/>
    </row>
    <row r="15" spans="2:13" ht="16.5" customHeight="1" x14ac:dyDescent="0.25">
      <c r="B15" s="244" t="s">
        <v>129</v>
      </c>
      <c r="C15" s="245"/>
      <c r="D15" s="246"/>
      <c r="E15" s="273">
        <v>134.11000000000001</v>
      </c>
      <c r="F15" s="274"/>
      <c r="G15" s="273">
        <v>178.36</v>
      </c>
      <c r="H15" s="274"/>
      <c r="L15" s="34"/>
      <c r="M15" s="34"/>
    </row>
    <row r="16" spans="2:13" ht="12.75" customHeight="1" thickBot="1" x14ac:dyDescent="0.3">
      <c r="B16" s="247"/>
      <c r="C16" s="248"/>
      <c r="D16" s="249"/>
      <c r="E16" s="273"/>
      <c r="F16" s="274"/>
      <c r="G16" s="273"/>
      <c r="H16" s="274"/>
      <c r="L16" s="34"/>
    </row>
    <row r="17" spans="2:18" ht="16.5" customHeight="1" thickBot="1" x14ac:dyDescent="0.3">
      <c r="B17" s="282" t="s">
        <v>21</v>
      </c>
      <c r="C17" s="283"/>
      <c r="D17" s="284"/>
      <c r="E17" s="305">
        <f>SUM(E7:E16)</f>
        <v>712.25</v>
      </c>
      <c r="F17" s="306"/>
      <c r="G17" s="305">
        <f>SUM(G7:G16)</f>
        <v>947.29000000000008</v>
      </c>
      <c r="H17" s="310"/>
      <c r="J17"/>
      <c r="K17"/>
      <c r="L17"/>
      <c r="M17"/>
      <c r="N17"/>
      <c r="O17"/>
      <c r="P17"/>
      <c r="Q17"/>
      <c r="R17"/>
    </row>
    <row r="18" spans="2:18" ht="26.25" customHeight="1" thickBot="1" x14ac:dyDescent="0.3">
      <c r="B18" s="304" t="s">
        <v>106</v>
      </c>
      <c r="C18" s="304"/>
      <c r="D18" s="304"/>
      <c r="E18" s="304"/>
      <c r="F18" s="304"/>
      <c r="G18" s="304"/>
      <c r="H18" s="304"/>
      <c r="J18"/>
      <c r="K18"/>
      <c r="L18"/>
      <c r="M18"/>
      <c r="N18"/>
      <c r="O18"/>
      <c r="P18"/>
      <c r="Q18"/>
      <c r="R18"/>
    </row>
    <row r="19" spans="2:18" ht="27" customHeight="1" x14ac:dyDescent="0.25">
      <c r="B19" s="276" t="s">
        <v>20</v>
      </c>
      <c r="C19" s="277"/>
      <c r="D19" s="278"/>
      <c r="E19" s="270" t="s">
        <v>108</v>
      </c>
      <c r="F19" s="270"/>
      <c r="G19" s="270" t="s">
        <v>109</v>
      </c>
      <c r="H19" s="299"/>
      <c r="J19"/>
      <c r="K19"/>
      <c r="L19"/>
      <c r="M19"/>
      <c r="N19"/>
      <c r="O19"/>
      <c r="P19"/>
      <c r="Q19"/>
      <c r="R19"/>
    </row>
    <row r="20" spans="2:18" ht="15.75" customHeight="1" x14ac:dyDescent="0.25">
      <c r="B20" s="233" t="s">
        <v>126</v>
      </c>
      <c r="C20" s="234"/>
      <c r="D20" s="235"/>
      <c r="E20" s="271">
        <v>126.86</v>
      </c>
      <c r="F20" s="272"/>
      <c r="G20" s="271">
        <v>168.72</v>
      </c>
      <c r="H20" s="272"/>
      <c r="J20"/>
      <c r="K20"/>
      <c r="L20" s="35"/>
      <c r="M20" s="35"/>
      <c r="N20"/>
      <c r="O20"/>
      <c r="P20"/>
      <c r="Q20"/>
      <c r="R20"/>
    </row>
    <row r="21" spans="2:18" ht="15.75" customHeight="1" x14ac:dyDescent="0.25">
      <c r="B21" s="239" t="s">
        <v>127</v>
      </c>
      <c r="C21" s="240"/>
      <c r="D21" s="241"/>
      <c r="E21" s="268">
        <v>24</v>
      </c>
      <c r="F21" s="269"/>
      <c r="G21" s="268">
        <v>31.92</v>
      </c>
      <c r="H21" s="269"/>
      <c r="J21"/>
      <c r="K21"/>
      <c r="L21" s="35"/>
      <c r="M21" s="35"/>
      <c r="N21"/>
      <c r="O21"/>
      <c r="P21"/>
      <c r="Q21"/>
      <c r="R21"/>
    </row>
    <row r="22" spans="2:18" ht="15.75" customHeight="1" x14ac:dyDescent="0.25">
      <c r="B22" s="236" t="s">
        <v>53</v>
      </c>
      <c r="C22" s="237"/>
      <c r="D22" s="238"/>
      <c r="E22" s="273">
        <v>31.81</v>
      </c>
      <c r="F22" s="274"/>
      <c r="G22" s="273">
        <v>42.31</v>
      </c>
      <c r="H22" s="274"/>
      <c r="J22"/>
      <c r="K22"/>
      <c r="L22" s="35"/>
      <c r="M22" s="35"/>
      <c r="N22"/>
      <c r="O22"/>
      <c r="P22"/>
      <c r="Q22"/>
      <c r="R22"/>
    </row>
    <row r="23" spans="2:18" ht="15.75" customHeight="1" x14ac:dyDescent="0.25">
      <c r="B23" s="239" t="s">
        <v>28</v>
      </c>
      <c r="C23" s="242"/>
      <c r="D23" s="243"/>
      <c r="E23" s="268">
        <v>180.92</v>
      </c>
      <c r="F23" s="269"/>
      <c r="G23" s="268">
        <v>240.62</v>
      </c>
      <c r="H23" s="269"/>
      <c r="J23"/>
      <c r="K23"/>
      <c r="L23" s="35"/>
      <c r="M23" s="35"/>
      <c r="N23"/>
      <c r="O23"/>
      <c r="P23"/>
      <c r="Q23"/>
      <c r="R23"/>
    </row>
    <row r="24" spans="2:18" ht="15.75" customHeight="1" x14ac:dyDescent="0.25">
      <c r="B24" s="236" t="s">
        <v>29</v>
      </c>
      <c r="C24" s="237"/>
      <c r="D24" s="238"/>
      <c r="E24" s="273">
        <v>68.11</v>
      </c>
      <c r="F24" s="274"/>
      <c r="G24" s="273">
        <v>90.59</v>
      </c>
      <c r="H24" s="274"/>
      <c r="J24"/>
      <c r="K24"/>
      <c r="L24" s="35"/>
      <c r="M24" s="35"/>
      <c r="N24"/>
      <c r="O24"/>
      <c r="P24"/>
      <c r="Q24"/>
      <c r="R24"/>
    </row>
    <row r="25" spans="2:18" ht="15.75" customHeight="1" x14ac:dyDescent="0.25">
      <c r="B25" s="239" t="s">
        <v>128</v>
      </c>
      <c r="C25" s="240"/>
      <c r="D25" s="241"/>
      <c r="E25" s="268">
        <v>16</v>
      </c>
      <c r="F25" s="269"/>
      <c r="G25" s="268">
        <v>21.29</v>
      </c>
      <c r="H25" s="269"/>
      <c r="J25"/>
      <c r="K25"/>
      <c r="L25" s="35"/>
      <c r="M25" s="35"/>
      <c r="N25"/>
      <c r="O25"/>
      <c r="P25"/>
      <c r="Q25"/>
      <c r="R25"/>
    </row>
    <row r="26" spans="2:18" ht="15.75" customHeight="1" x14ac:dyDescent="0.25">
      <c r="B26" s="236" t="s">
        <v>30</v>
      </c>
      <c r="C26" s="237"/>
      <c r="D26" s="238"/>
      <c r="E26" s="273">
        <v>139.55000000000001</v>
      </c>
      <c r="F26" s="274"/>
      <c r="G26" s="273">
        <v>185.6</v>
      </c>
      <c r="H26" s="274"/>
      <c r="J26"/>
      <c r="K26"/>
      <c r="L26" s="35"/>
      <c r="M26" s="35"/>
      <c r="N26"/>
      <c r="O26"/>
      <c r="P26"/>
      <c r="Q26"/>
      <c r="R26"/>
    </row>
    <row r="27" spans="2:18" ht="15.75" customHeight="1" x14ac:dyDescent="0.25">
      <c r="B27" s="239" t="s">
        <v>31</v>
      </c>
      <c r="C27" s="242"/>
      <c r="D27" s="243"/>
      <c r="E27" s="268">
        <v>40.6</v>
      </c>
      <c r="F27" s="269"/>
      <c r="G27" s="268">
        <v>53.99</v>
      </c>
      <c r="H27" s="269"/>
      <c r="J27"/>
      <c r="K27"/>
      <c r="L27" s="35"/>
      <c r="M27" s="35"/>
      <c r="N27"/>
      <c r="O27"/>
      <c r="P27"/>
      <c r="Q27"/>
      <c r="R27"/>
    </row>
    <row r="28" spans="2:18" ht="16.5" customHeight="1" x14ac:dyDescent="0.25">
      <c r="B28" s="244" t="s">
        <v>129</v>
      </c>
      <c r="C28" s="245"/>
      <c r="D28" s="246"/>
      <c r="E28" s="273">
        <v>140.32</v>
      </c>
      <c r="F28" s="274"/>
      <c r="G28" s="273">
        <v>186.63</v>
      </c>
      <c r="H28" s="274"/>
      <c r="J28"/>
      <c r="K28"/>
      <c r="L28" s="35"/>
      <c r="M28" s="35"/>
      <c r="N28"/>
      <c r="O28"/>
      <c r="P28"/>
      <c r="Q28"/>
      <c r="R28"/>
    </row>
    <row r="29" spans="2:18" ht="13.8" thickBot="1" x14ac:dyDescent="0.3">
      <c r="B29" s="247"/>
      <c r="C29" s="248"/>
      <c r="D29" s="249"/>
      <c r="E29" s="273"/>
      <c r="F29" s="274"/>
      <c r="G29" s="273"/>
      <c r="H29" s="274"/>
      <c r="J29"/>
      <c r="K29"/>
      <c r="L29" s="35"/>
      <c r="M29" s="35"/>
      <c r="N29"/>
      <c r="O29"/>
      <c r="P29"/>
      <c r="Q29"/>
      <c r="R29"/>
    </row>
    <row r="30" spans="2:18" ht="16.5" customHeight="1" thickBot="1" x14ac:dyDescent="0.3">
      <c r="B30" s="279" t="s">
        <v>21</v>
      </c>
      <c r="C30" s="280"/>
      <c r="D30" s="281"/>
      <c r="E30" s="291">
        <f>SUM(E20:E29)</f>
        <v>768.17000000000007</v>
      </c>
      <c r="F30" s="291"/>
      <c r="G30" s="291">
        <f>SUM(G20:G29)</f>
        <v>1021.67</v>
      </c>
      <c r="H30" s="292"/>
      <c r="J30"/>
      <c r="K30"/>
      <c r="L30"/>
      <c r="M30" s="35"/>
      <c r="N30"/>
      <c r="O30"/>
      <c r="P30"/>
      <c r="Q30"/>
      <c r="R30"/>
    </row>
    <row r="31" spans="2:18" ht="26.25" customHeight="1" thickBot="1" x14ac:dyDescent="0.3">
      <c r="B31" s="304" t="s">
        <v>107</v>
      </c>
      <c r="C31" s="304"/>
      <c r="D31" s="304"/>
      <c r="E31" s="304"/>
      <c r="F31" s="304"/>
      <c r="G31" s="304"/>
      <c r="H31" s="304"/>
      <c r="L31"/>
      <c r="M31" s="35"/>
      <c r="N31"/>
      <c r="O31"/>
      <c r="P31"/>
      <c r="Q31"/>
      <c r="R31"/>
    </row>
    <row r="32" spans="2:18" ht="27" customHeight="1" x14ac:dyDescent="0.25">
      <c r="B32" s="285" t="s">
        <v>20</v>
      </c>
      <c r="C32" s="286"/>
      <c r="D32" s="287"/>
      <c r="E32" s="270" t="s">
        <v>108</v>
      </c>
      <c r="F32" s="270"/>
      <c r="G32" s="270" t="s">
        <v>109</v>
      </c>
      <c r="H32" s="299"/>
      <c r="L32"/>
      <c r="M32" s="35"/>
      <c r="N32"/>
      <c r="O32"/>
      <c r="P32"/>
      <c r="Q32"/>
      <c r="R32"/>
    </row>
    <row r="33" spans="2:13" ht="15.75" customHeight="1" x14ac:dyDescent="0.25">
      <c r="B33" s="236" t="s">
        <v>126</v>
      </c>
      <c r="C33" s="237"/>
      <c r="D33" s="238"/>
      <c r="E33" s="271">
        <v>121.56</v>
      </c>
      <c r="F33" s="272"/>
      <c r="G33" s="271">
        <v>161.68</v>
      </c>
      <c r="H33" s="272"/>
      <c r="L33" s="34"/>
      <c r="M33" s="35"/>
    </row>
    <row r="34" spans="2:13" ht="15.75" customHeight="1" x14ac:dyDescent="0.25">
      <c r="B34" s="239" t="s">
        <v>127</v>
      </c>
      <c r="C34" s="240"/>
      <c r="D34" s="241"/>
      <c r="E34" s="268">
        <v>16.7</v>
      </c>
      <c r="F34" s="269"/>
      <c r="G34" s="268">
        <v>22.21</v>
      </c>
      <c r="H34" s="269"/>
      <c r="L34" s="34"/>
      <c r="M34" s="35"/>
    </row>
    <row r="35" spans="2:13" ht="15.75" customHeight="1" x14ac:dyDescent="0.25">
      <c r="B35" s="236" t="s">
        <v>53</v>
      </c>
      <c r="C35" s="237"/>
      <c r="D35" s="238"/>
      <c r="E35" s="273">
        <v>33.4</v>
      </c>
      <c r="F35" s="274"/>
      <c r="G35" s="273">
        <v>44.42</v>
      </c>
      <c r="H35" s="274"/>
      <c r="L35" s="34"/>
      <c r="M35" s="35"/>
    </row>
    <row r="36" spans="2:13" ht="15.75" customHeight="1" x14ac:dyDescent="0.25">
      <c r="B36" s="239" t="s">
        <v>28</v>
      </c>
      <c r="C36" s="242"/>
      <c r="D36" s="243"/>
      <c r="E36" s="268">
        <v>274.01</v>
      </c>
      <c r="F36" s="269"/>
      <c r="G36" s="268">
        <v>364.43</v>
      </c>
      <c r="H36" s="269"/>
      <c r="K36" s="34"/>
      <c r="L36" s="34"/>
      <c r="M36" s="35"/>
    </row>
    <row r="37" spans="2:13" ht="15.75" customHeight="1" x14ac:dyDescent="0.25">
      <c r="B37" s="236" t="s">
        <v>29</v>
      </c>
      <c r="C37" s="237"/>
      <c r="D37" s="238"/>
      <c r="E37" s="273">
        <v>61.95</v>
      </c>
      <c r="F37" s="274"/>
      <c r="G37" s="273">
        <v>82.39</v>
      </c>
      <c r="H37" s="274"/>
      <c r="L37" s="34"/>
      <c r="M37" s="35"/>
    </row>
    <row r="38" spans="2:13" ht="15.75" customHeight="1" x14ac:dyDescent="0.25">
      <c r="B38" s="239" t="s">
        <v>128</v>
      </c>
      <c r="C38" s="240"/>
      <c r="D38" s="241"/>
      <c r="E38" s="268">
        <v>14.72</v>
      </c>
      <c r="F38" s="269"/>
      <c r="G38" s="268">
        <v>19.579999999999998</v>
      </c>
      <c r="H38" s="269"/>
      <c r="L38" s="34"/>
      <c r="M38" s="35"/>
    </row>
    <row r="39" spans="2:13" ht="15.75" customHeight="1" x14ac:dyDescent="0.25">
      <c r="B39" s="236" t="s">
        <v>30</v>
      </c>
      <c r="C39" s="237"/>
      <c r="D39" s="238"/>
      <c r="E39" s="273">
        <v>107.56</v>
      </c>
      <c r="F39" s="274"/>
      <c r="G39" s="273">
        <v>143.05000000000001</v>
      </c>
      <c r="H39" s="274"/>
      <c r="L39" s="34"/>
      <c r="M39" s="35"/>
    </row>
    <row r="40" spans="2:13" ht="15.75" customHeight="1" x14ac:dyDescent="0.25">
      <c r="B40" s="239" t="s">
        <v>31</v>
      </c>
      <c r="C40" s="242"/>
      <c r="D40" s="243"/>
      <c r="E40" s="268">
        <v>36.99</v>
      </c>
      <c r="F40" s="269"/>
      <c r="G40" s="268">
        <v>49.2</v>
      </c>
      <c r="H40" s="269"/>
      <c r="L40" s="34"/>
      <c r="M40" s="35"/>
    </row>
    <row r="41" spans="2:13" ht="16.5" customHeight="1" x14ac:dyDescent="0.25">
      <c r="B41" s="244" t="s">
        <v>129</v>
      </c>
      <c r="C41" s="245"/>
      <c r="D41" s="246"/>
      <c r="E41" s="273">
        <v>148.85</v>
      </c>
      <c r="F41" s="274"/>
      <c r="G41" s="273">
        <v>197.97</v>
      </c>
      <c r="H41" s="274"/>
      <c r="L41" s="34"/>
      <c r="M41" s="35"/>
    </row>
    <row r="42" spans="2:13" ht="13.8" thickBot="1" x14ac:dyDescent="0.3">
      <c r="B42" s="247"/>
      <c r="C42" s="248"/>
      <c r="D42" s="249"/>
      <c r="E42" s="273"/>
      <c r="F42" s="274"/>
      <c r="G42" s="273"/>
      <c r="H42" s="274"/>
    </row>
    <row r="43" spans="2:13" ht="16.5" customHeight="1" thickBot="1" x14ac:dyDescent="0.3">
      <c r="B43" s="279" t="s">
        <v>21</v>
      </c>
      <c r="C43" s="280"/>
      <c r="D43" s="281"/>
      <c r="E43" s="291">
        <f>SUM(E33:E42)</f>
        <v>815.7399999999999</v>
      </c>
      <c r="F43" s="291"/>
      <c r="G43" s="291">
        <f>SUM(G33:G42)</f>
        <v>1084.93</v>
      </c>
      <c r="H43" s="292"/>
    </row>
    <row r="44" spans="2:13" ht="18.75" customHeight="1" x14ac:dyDescent="0.25">
      <c r="B44" s="309"/>
      <c r="C44" s="309"/>
      <c r="D44" s="309"/>
      <c r="E44" s="309"/>
      <c r="F44" s="309"/>
      <c r="G44" s="309"/>
      <c r="H44" s="309"/>
    </row>
    <row r="45" spans="2:13" ht="18" customHeight="1" x14ac:dyDescent="0.25">
      <c r="B45" s="275" t="s">
        <v>41</v>
      </c>
      <c r="C45" s="275"/>
      <c r="D45" s="275"/>
      <c r="E45" s="275"/>
      <c r="F45" s="275"/>
      <c r="G45" s="275"/>
      <c r="H45" s="275"/>
    </row>
    <row r="46" spans="2:13" ht="13.2" customHeight="1" thickBot="1" x14ac:dyDescent="0.3">
      <c r="B46" s="303" t="s">
        <v>111</v>
      </c>
      <c r="C46" s="303"/>
      <c r="D46" s="303"/>
      <c r="E46" s="303"/>
      <c r="F46" s="303"/>
      <c r="G46" s="303"/>
      <c r="H46" s="303"/>
    </row>
    <row r="47" spans="2:13" ht="30" customHeight="1" x14ac:dyDescent="0.25">
      <c r="B47" s="257" t="s">
        <v>60</v>
      </c>
      <c r="C47" s="258"/>
      <c r="D47" s="259"/>
      <c r="E47" s="270" t="s">
        <v>108</v>
      </c>
      <c r="F47" s="270"/>
      <c r="G47" s="270" t="s">
        <v>109</v>
      </c>
      <c r="H47" s="299"/>
      <c r="I47"/>
      <c r="J47"/>
      <c r="K47"/>
    </row>
    <row r="48" spans="2:13" ht="15.75" customHeight="1" x14ac:dyDescent="0.25">
      <c r="B48" s="233" t="s">
        <v>112</v>
      </c>
      <c r="C48" s="234"/>
      <c r="D48" s="235"/>
      <c r="E48" s="300">
        <v>88.28</v>
      </c>
      <c r="F48" s="301"/>
      <c r="G48" s="297">
        <v>117.42</v>
      </c>
      <c r="H48" s="298"/>
      <c r="I48"/>
      <c r="J48"/>
      <c r="K48"/>
      <c r="L48" s="34"/>
    </row>
    <row r="49" spans="2:12" ht="15.75" customHeight="1" x14ac:dyDescent="0.25">
      <c r="B49" s="239" t="s">
        <v>113</v>
      </c>
      <c r="C49" s="242"/>
      <c r="D49" s="243"/>
      <c r="E49" s="295">
        <v>99.92</v>
      </c>
      <c r="F49" s="302"/>
      <c r="G49" s="295">
        <v>132.9</v>
      </c>
      <c r="H49" s="296"/>
      <c r="I49"/>
      <c r="J49"/>
      <c r="K49"/>
      <c r="L49" s="34"/>
    </row>
    <row r="50" spans="2:12" ht="15.75" customHeight="1" thickBot="1" x14ac:dyDescent="0.3">
      <c r="B50" s="263" t="s">
        <v>114</v>
      </c>
      <c r="C50" s="264"/>
      <c r="D50" s="265"/>
      <c r="E50" s="266">
        <v>110.43</v>
      </c>
      <c r="F50" s="267"/>
      <c r="G50" s="293">
        <v>146.87</v>
      </c>
      <c r="H50" s="294"/>
      <c r="I50"/>
      <c r="J50"/>
      <c r="K50"/>
      <c r="L50" s="34"/>
    </row>
    <row r="51" spans="2:12" ht="15.75" customHeight="1" x14ac:dyDescent="0.25">
      <c r="B51"/>
      <c r="C51"/>
      <c r="D51"/>
      <c r="E51"/>
      <c r="F51"/>
      <c r="G51"/>
      <c r="H51"/>
      <c r="I51"/>
      <c r="J51"/>
      <c r="K51"/>
      <c r="L51" s="34"/>
    </row>
    <row r="52" spans="2:12" ht="30" customHeight="1" x14ac:dyDescent="0.25">
      <c r="B52" s="260" t="s">
        <v>22</v>
      </c>
      <c r="C52" s="261"/>
      <c r="D52" s="262"/>
      <c r="E52" s="250" t="s">
        <v>54</v>
      </c>
      <c r="F52" s="251"/>
      <c r="G52"/>
      <c r="H52"/>
    </row>
    <row r="53" spans="2:12" ht="36.75" customHeight="1" x14ac:dyDescent="0.25">
      <c r="B53" s="254" t="s">
        <v>23</v>
      </c>
      <c r="C53" s="255"/>
      <c r="D53" s="256"/>
      <c r="E53" s="252">
        <f>Parameters!C35</f>
        <v>0</v>
      </c>
      <c r="F53" s="253"/>
      <c r="G53"/>
      <c r="H53" s="35"/>
    </row>
    <row r="56" spans="2:12" ht="20.25" customHeight="1" x14ac:dyDescent="0.25">
      <c r="B56" s="289" t="s">
        <v>157</v>
      </c>
      <c r="C56" s="290"/>
      <c r="D56" s="290"/>
      <c r="E56" s="290"/>
      <c r="F56" s="290"/>
      <c r="G56" s="290"/>
      <c r="H56" s="13" t="s">
        <v>50</v>
      </c>
    </row>
    <row r="58" spans="2:12" ht="24.75" customHeight="1" x14ac:dyDescent="0.25">
      <c r="B58" s="289" t="s">
        <v>156</v>
      </c>
      <c r="C58" s="290"/>
      <c r="D58" s="290"/>
      <c r="E58" s="290"/>
      <c r="F58" s="290"/>
      <c r="G58" s="290"/>
      <c r="H58" s="13" t="s">
        <v>50</v>
      </c>
    </row>
  </sheetData>
  <sheetProtection algorithmName="SHA-512" hashValue="kMu1t6GBG49hme/6Lw570hdsT6FmYST1Tpoci6SOVxD8H0ulW7hQW+VivYsPVqktFTS4mZ7o85QdLd7qi0Wp9A==" saltValue="D9TlaANrI+ntOYOBkwRBBw==" spinCount="100000" sheet="1" selectLockedCells="1"/>
  <protectedRanges>
    <protectedRange password="95CF" sqref="E53" name="Range1_1"/>
  </protectedRanges>
  <mergeCells count="126">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6"/>
  <sheetViews>
    <sheetView workbookViewId="0">
      <selection activeCell="G5" sqref="G5"/>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1.88671875" bestFit="1" customWidth="1"/>
    <col min="10" max="10" width="10.21875" bestFit="1" customWidth="1"/>
  </cols>
  <sheetData>
    <row r="1" spans="2:11" ht="13.8" thickBot="1" x14ac:dyDescent="0.3"/>
    <row r="2" spans="2:11" x14ac:dyDescent="0.25">
      <c r="B2" s="11" t="s">
        <v>19</v>
      </c>
      <c r="C2" s="59">
        <f>IF(AND(TRIM(_App4)&lt;&gt;"", App4Income&lt;&gt;"0"), 4, IF(AND(TRIM(_App3)&lt;&gt;"", App3Income&lt;&gt;"0"), 3, IF(AND(TRIM(_App2)&lt;&gt;"", App2Income&lt;&gt;"0"), 2, IF(AND(TRIM(_App1)&lt;&gt;"",App1Income&lt;&gt;"0"), 1, 0))))</f>
        <v>0</v>
      </c>
      <c r="E2" s="11" t="s">
        <v>27</v>
      </c>
      <c r="F2" s="28">
        <v>0.01</v>
      </c>
      <c r="H2" s="86" t="s">
        <v>189</v>
      </c>
    </row>
    <row r="3" spans="2:11" x14ac:dyDescent="0.25">
      <c r="B3" s="2" t="s">
        <v>18</v>
      </c>
      <c r="C3" s="67"/>
      <c r="E3" s="2" t="str">
        <f>"SVR + " &amp;  F2*100 &amp; "%"</f>
        <v>SVR + 1%</v>
      </c>
      <c r="F3" s="29">
        <f>SVR+F2</f>
        <v>8.9899999999999994E-2</v>
      </c>
    </row>
    <row r="4" spans="2:11" x14ac:dyDescent="0.25">
      <c r="B4" s="2" t="s">
        <v>59</v>
      </c>
      <c r="C4" s="67">
        <f>IF(M25YorN="M25", IF(TA=1,QolSingleM25,IF(TA&gt;=2,QoLJointM25,0)),IF(M25YorN="West Midlands",IF(TA=1,QoLSingleWM,IF(TA&gt;=2,QoLJointWM,0)),IF(QoLSingleOutsideM25,IF(TA&gt;=2,QoLJointOutsideM25,0))))</f>
        <v>0</v>
      </c>
      <c r="E4" s="2" t="s">
        <v>58</v>
      </c>
      <c r="F4" s="3">
        <v>0.02</v>
      </c>
    </row>
    <row r="5" spans="2:11" x14ac:dyDescent="0.25">
      <c r="B5" s="2" t="s">
        <v>4</v>
      </c>
      <c r="C5" s="137" t="str">
        <f>IF(RepaymentType = "Repayment", "R","I")</f>
        <v>I</v>
      </c>
      <c r="E5" s="2" t="str">
        <f>"Product + " &amp;  F4*100 &amp; "%"</f>
        <v>Product + 2%</v>
      </c>
      <c r="F5" s="29">
        <f>InterestRate+F4</f>
        <v>0.02</v>
      </c>
    </row>
    <row r="6" spans="2:11" x14ac:dyDescent="0.25">
      <c r="B6" s="2" t="s">
        <v>1</v>
      </c>
      <c r="C6" s="60">
        <f>InterestRate</f>
        <v>0</v>
      </c>
      <c r="E6" s="6"/>
      <c r="F6" s="1"/>
    </row>
    <row r="7" spans="2:11" ht="13.8" thickBot="1" x14ac:dyDescent="0.3">
      <c r="B7" s="6"/>
      <c r="C7" s="1"/>
      <c r="E7" s="5" t="s">
        <v>57</v>
      </c>
      <c r="F7" s="66">
        <f>F5</f>
        <v>0.02</v>
      </c>
      <c r="G7" s="106" t="s">
        <v>141</v>
      </c>
    </row>
    <row r="8" spans="2:11" x14ac:dyDescent="0.25">
      <c r="B8" s="2" t="s">
        <v>56</v>
      </c>
      <c r="C8" s="61">
        <f>F7</f>
        <v>0.02</v>
      </c>
      <c r="G8" s="106" t="s">
        <v>190</v>
      </c>
    </row>
    <row r="9" spans="2:11" ht="13.8" thickBot="1" x14ac:dyDescent="0.3">
      <c r="B9" s="2" t="s">
        <v>2</v>
      </c>
      <c r="C9" s="62">
        <f>LoanAmount</f>
        <v>0</v>
      </c>
    </row>
    <row r="10" spans="2:11" ht="13.8" thickBot="1" x14ac:dyDescent="0.3">
      <c r="B10" s="2" t="s">
        <v>7</v>
      </c>
      <c r="C10" s="63">
        <f>Years</f>
        <v>0</v>
      </c>
      <c r="E10" s="88" t="s">
        <v>134</v>
      </c>
      <c r="F10" s="12">
        <f>Stressed_Rate/12</f>
        <v>1.6666666666666668E-3</v>
      </c>
      <c r="H10" s="311" t="s">
        <v>169</v>
      </c>
      <c r="I10" s="312"/>
      <c r="K10" s="58"/>
    </row>
    <row r="11" spans="2:11" x14ac:dyDescent="0.25">
      <c r="B11" s="2" t="s">
        <v>8</v>
      </c>
      <c r="C11" s="68">
        <f>Months</f>
        <v>0</v>
      </c>
      <c r="E11" s="89" t="s">
        <v>135</v>
      </c>
      <c r="F11" s="1">
        <f>T</f>
        <v>0</v>
      </c>
      <c r="G11" s="145"/>
      <c r="H11" s="313">
        <v>15000</v>
      </c>
      <c r="I11" s="314"/>
      <c r="J11" t="s">
        <v>168</v>
      </c>
    </row>
    <row r="12" spans="2:11" x14ac:dyDescent="0.25">
      <c r="B12" s="2" t="s">
        <v>0</v>
      </c>
      <c r="C12" s="64">
        <f>SUM(Month+Year*12)</f>
        <v>0</v>
      </c>
      <c r="E12" s="89" t="s">
        <v>172</v>
      </c>
      <c r="F12" s="1"/>
      <c r="G12" s="6">
        <f>TotalDisposableIncome</f>
        <v>0</v>
      </c>
      <c r="H12" s="151"/>
      <c r="I12" s="94"/>
      <c r="J12" t="s">
        <v>145</v>
      </c>
    </row>
    <row r="13" spans="2:11" ht="13.8" thickBot="1" x14ac:dyDescent="0.3">
      <c r="B13" s="2" t="s">
        <v>15</v>
      </c>
      <c r="C13" s="64">
        <f>_Age1</f>
        <v>0</v>
      </c>
      <c r="E13" s="89" t="s">
        <v>136</v>
      </c>
      <c r="F13" s="94">
        <f>-C42</f>
        <v>0</v>
      </c>
      <c r="G13" s="148">
        <f>F13-G12</f>
        <v>0</v>
      </c>
      <c r="H13" s="152"/>
      <c r="I13" s="126"/>
      <c r="J13" t="s">
        <v>173</v>
      </c>
    </row>
    <row r="14" spans="2:11" ht="13.8" thickBot="1" x14ac:dyDescent="0.3">
      <c r="B14" s="2" t="s">
        <v>16</v>
      </c>
      <c r="C14" s="64">
        <f>C13*40</f>
        <v>0</v>
      </c>
      <c r="E14" s="90"/>
      <c r="F14" s="147" t="s">
        <v>170</v>
      </c>
      <c r="G14" s="146" t="s">
        <v>171</v>
      </c>
      <c r="H14" s="149" t="s">
        <v>170</v>
      </c>
      <c r="I14" s="150" t="s">
        <v>171</v>
      </c>
    </row>
    <row r="15" spans="2:11" ht="13.8" thickBot="1" x14ac:dyDescent="0.3">
      <c r="B15" s="2" t="s">
        <v>17</v>
      </c>
      <c r="C15" s="64">
        <f>_Age2</f>
        <v>0</v>
      </c>
      <c r="E15" s="91" t="s">
        <v>137</v>
      </c>
      <c r="F15" s="129">
        <f>(PV(F10,F11,F13))</f>
        <v>0</v>
      </c>
      <c r="G15" s="144">
        <f>(PV(F10,F11,G13))</f>
        <v>0</v>
      </c>
      <c r="H15" s="92">
        <f>(PV(F10,H11,F13))</f>
        <v>0</v>
      </c>
      <c r="I15" s="144">
        <f>(PV(F10,H11,G13))</f>
        <v>0</v>
      </c>
      <c r="J15" t="s">
        <v>146</v>
      </c>
    </row>
    <row r="16" spans="2:11" ht="13.8" thickBot="1" x14ac:dyDescent="0.3">
      <c r="B16" s="2" t="s">
        <v>16</v>
      </c>
      <c r="C16" s="62">
        <f>C15*60</f>
        <v>0</v>
      </c>
      <c r="E16" s="93" t="s">
        <v>138</v>
      </c>
      <c r="F16" s="153">
        <f>ROUNDDOWN((PV(F10,F11,F13)),-2)</f>
        <v>0</v>
      </c>
      <c r="G16" s="153">
        <f>ROUNDDOWN((PV(F10,F11,G13)),-2)</f>
        <v>0</v>
      </c>
      <c r="H16" s="154">
        <f>ROUNDDOWN((PV(F10,H11,F13)),-2)</f>
        <v>0</v>
      </c>
      <c r="I16" s="155">
        <f>ROUNDDOWN((PV(F10,H11,G13)),-2)</f>
        <v>0</v>
      </c>
      <c r="J16" t="s">
        <v>147</v>
      </c>
    </row>
    <row r="17" spans="2:10" ht="13.8" thickBot="1" x14ac:dyDescent="0.3">
      <c r="B17" s="5" t="s">
        <v>45</v>
      </c>
      <c r="C17" s="104">
        <f>I31</f>
        <v>0</v>
      </c>
      <c r="D17" s="22"/>
    </row>
    <row r="18" spans="2:10" ht="13.8" thickBot="1" x14ac:dyDescent="0.3">
      <c r="B18" s="9"/>
      <c r="F18" s="157" t="s">
        <v>166</v>
      </c>
      <c r="G18" s="156" t="s">
        <v>167</v>
      </c>
    </row>
    <row r="19" spans="2:10" ht="13.8" thickBot="1" x14ac:dyDescent="0.3">
      <c r="B19" s="330" t="s">
        <v>6</v>
      </c>
      <c r="C19" s="331"/>
      <c r="E19" s="93" t="s">
        <v>142</v>
      </c>
      <c r="F19" s="158">
        <f>IF(DisposableIncomePercentage&gt;=0, F16, G16)</f>
        <v>0</v>
      </c>
      <c r="G19" s="158">
        <f>IF(DisposableIncomePercentage&gt;=0, H16, I16)</f>
        <v>0</v>
      </c>
    </row>
    <row r="20" spans="2:10" x14ac:dyDescent="0.25">
      <c r="B20" s="11"/>
      <c r="C20" s="12"/>
    </row>
    <row r="21" spans="2:10" ht="13.8" thickBot="1" x14ac:dyDescent="0.3">
      <c r="B21" s="2" t="s">
        <v>3</v>
      </c>
      <c r="C21" s="62">
        <f>IF(OR(T=0,SIR=0),0,SUM((((1+(SIR/12))^T))/(((1+(SIR/12))^T)-1))*(SIR*LA/12))</f>
        <v>0</v>
      </c>
    </row>
    <row r="22" spans="2:10" ht="13.8" thickBot="1" x14ac:dyDescent="0.3">
      <c r="B22" s="2" t="s">
        <v>48</v>
      </c>
      <c r="C22" s="62">
        <f>SUM(SIR*LA/12)</f>
        <v>0</v>
      </c>
      <c r="E22" s="82" t="s">
        <v>116</v>
      </c>
      <c r="F22" s="83">
        <v>1</v>
      </c>
      <c r="G22" s="83">
        <v>2</v>
      </c>
      <c r="H22" s="83">
        <v>3</v>
      </c>
      <c r="I22" s="84">
        <v>4</v>
      </c>
      <c r="J22" s="58"/>
    </row>
    <row r="23" spans="2:10" ht="13.8" thickBot="1" x14ac:dyDescent="0.3">
      <c r="B23" s="2"/>
      <c r="C23" s="4"/>
      <c r="E23" s="73" t="s">
        <v>115</v>
      </c>
      <c r="F23" s="74"/>
      <c r="G23" s="74"/>
      <c r="H23" s="75">
        <v>280</v>
      </c>
      <c r="I23" s="76">
        <v>560</v>
      </c>
      <c r="J23" s="58"/>
    </row>
    <row r="24" spans="2:10" ht="13.8" thickBot="1" x14ac:dyDescent="0.3">
      <c r="B24" s="21" t="s">
        <v>5</v>
      </c>
      <c r="C24" s="65">
        <f>IF(C5="I",C22,(IF(C5="R",C21,"")))</f>
        <v>0</v>
      </c>
      <c r="E24" s="80" t="s">
        <v>102</v>
      </c>
      <c r="F24" s="69">
        <f>SingleHouseholdInsideWM+Expenses!E48</f>
        <v>800.53</v>
      </c>
      <c r="G24" s="69">
        <f>Expenses!G17+Expenses!G48</f>
        <v>1064.71</v>
      </c>
      <c r="H24" s="69">
        <f>G24+H23</f>
        <v>1344.71</v>
      </c>
      <c r="I24" s="70">
        <f>G24+I23</f>
        <v>1624.71</v>
      </c>
      <c r="J24" s="58"/>
    </row>
    <row r="25" spans="2:10" ht="13.8" thickBot="1" x14ac:dyDescent="0.3">
      <c r="B25" s="9"/>
      <c r="C25" s="10"/>
      <c r="E25" s="77" t="s">
        <v>115</v>
      </c>
      <c r="F25" s="54"/>
      <c r="G25" s="78"/>
      <c r="H25" s="78">
        <v>302</v>
      </c>
      <c r="I25" s="79">
        <v>604</v>
      </c>
      <c r="J25" s="58"/>
    </row>
    <row r="26" spans="2:10" ht="13.8" thickBot="1" x14ac:dyDescent="0.3">
      <c r="B26" s="330" t="str">
        <f>"Extra " &amp; F2*100 &amp; "% SVR"</f>
        <v>Extra 1% SVR</v>
      </c>
      <c r="C26" s="331"/>
      <c r="E26" s="80" t="s">
        <v>113</v>
      </c>
      <c r="F26" s="69">
        <f>SingleHouseholdOutsideM25+Expenses!E49</f>
        <v>868.09</v>
      </c>
      <c r="G26" s="69">
        <f>JointHouseholdOutsideM25+Expenses!G49</f>
        <v>1154.57</v>
      </c>
      <c r="H26" s="69">
        <f>G26+H25</f>
        <v>1456.57</v>
      </c>
      <c r="I26" s="70">
        <f>G26+I25</f>
        <v>1758.57</v>
      </c>
    </row>
    <row r="27" spans="2:10" x14ac:dyDescent="0.25">
      <c r="B27" s="2"/>
      <c r="C27" s="4"/>
      <c r="E27" s="77" t="s">
        <v>115</v>
      </c>
      <c r="F27" s="54"/>
      <c r="G27" s="78"/>
      <c r="H27" s="78">
        <v>306</v>
      </c>
      <c r="I27" s="79">
        <v>612</v>
      </c>
    </row>
    <row r="28" spans="2:10" ht="13.8" thickBot="1" x14ac:dyDescent="0.3">
      <c r="B28" s="2" t="s">
        <v>3</v>
      </c>
      <c r="C28" s="62">
        <f>IF(OR(T=0,SIR=0),0,SUM((((1+(CSVR/12))^T))/(((1+(CSVR/12))^T)-1))*(CSVR*LA/12))</f>
        <v>0</v>
      </c>
      <c r="E28" s="81" t="s">
        <v>114</v>
      </c>
      <c r="F28" s="71">
        <f>SingleHouseholdInsideM25+Expenses!E50</f>
        <v>926.16999999999985</v>
      </c>
      <c r="G28" s="71">
        <f>JointHouseholdInsideM25+Expenses!G50</f>
        <v>1231.8000000000002</v>
      </c>
      <c r="H28" s="71">
        <f>G28+H27</f>
        <v>1537.8000000000002</v>
      </c>
      <c r="I28" s="72">
        <f>G28+I27</f>
        <v>1843.8000000000002</v>
      </c>
    </row>
    <row r="29" spans="2:10" x14ac:dyDescent="0.25">
      <c r="B29" s="2" t="s">
        <v>48</v>
      </c>
      <c r="C29" s="62">
        <f>SUM(CSVR*LA/12)</f>
        <v>0</v>
      </c>
    </row>
    <row r="30" spans="2:10" ht="13.8" thickBot="1" x14ac:dyDescent="0.3">
      <c r="B30" s="6"/>
      <c r="C30" s="4"/>
      <c r="E30" s="58"/>
    </row>
    <row r="31" spans="2:10" ht="13.8" thickBot="1" x14ac:dyDescent="0.3">
      <c r="B31" s="21" t="s">
        <v>5</v>
      </c>
      <c r="C31" s="65">
        <f>IF(C5="I",C29,(IF(C5="R",C28,"")))</f>
        <v>0</v>
      </c>
      <c r="E31" s="321"/>
      <c r="F31" s="322"/>
      <c r="G31" s="323"/>
      <c r="H31" s="93" t="s">
        <v>120</v>
      </c>
      <c r="I31" s="103">
        <f>IF(I33&lt;&gt;0, I33, IF(I34&lt;&gt;0, I34, IF(I35&lt;&gt;0, I35, IF(I32&lt;&gt;0, I32, 0))))</f>
        <v>0</v>
      </c>
    </row>
    <row r="32" spans="2:10" ht="13.8" thickBot="1" x14ac:dyDescent="0.3">
      <c r="E32" s="102" t="s">
        <v>117</v>
      </c>
      <c r="F32" s="100">
        <f>IF(F33&lt;&gt;0, F33, IF(F34&lt;&gt;0, F34, IF(F35&lt;&gt;0, F35,0)))</f>
        <v>18</v>
      </c>
      <c r="G32" s="100"/>
      <c r="H32" s="100" t="s">
        <v>121</v>
      </c>
      <c r="I32" s="101">
        <f>IF(AND(TA=1,F32=16),F26,IF(AND(TA=1,F32=14),F24,IF(AND(TA=1,F32=18),F28,0)))</f>
        <v>0</v>
      </c>
    </row>
    <row r="33" spans="2:9" ht="13.8" thickBot="1" x14ac:dyDescent="0.3">
      <c r="B33" s="332" t="s">
        <v>24</v>
      </c>
      <c r="C33" s="333"/>
      <c r="E33" s="95" t="s">
        <v>102</v>
      </c>
      <c r="F33" s="87">
        <f>IFERROR((IF(SEARCH(E33,M25YorN)&gt;0,14,0)),0)</f>
        <v>0</v>
      </c>
      <c r="G33" s="87"/>
      <c r="H33" s="87" t="s">
        <v>122</v>
      </c>
      <c r="I33" s="96">
        <f>IF(AND(TA=2, F32=16), G26, IF(AND(TA=2, F32=14), G24, IF(AND(TA=2, F32=18), G28, 0)))</f>
        <v>0</v>
      </c>
    </row>
    <row r="34" spans="2:9" ht="13.8" thickBot="1" x14ac:dyDescent="0.3">
      <c r="B34" s="7"/>
      <c r="C34" s="8"/>
      <c r="E34" s="95" t="s">
        <v>118</v>
      </c>
      <c r="F34" s="87">
        <f>IFERROR((IF(SEARCH(E34,M25YorN)&gt;0,18,0)),0)</f>
        <v>18</v>
      </c>
      <c r="G34" s="87"/>
      <c r="H34" s="87" t="s">
        <v>123</v>
      </c>
      <c r="I34" s="96">
        <f>IF(AND(TA=3, F32=16), H26, IF(AND(TA=3, F32=14), H24, IF(AND(TA=3, F32=18), H28, 0)))</f>
        <v>0</v>
      </c>
    </row>
    <row r="35" spans="2:9" ht="13.8" thickBot="1" x14ac:dyDescent="0.3">
      <c r="B35" s="21" t="s">
        <v>25</v>
      </c>
      <c r="C35" s="65">
        <f>SUM(CAge1+CAge2)</f>
        <v>0</v>
      </c>
      <c r="E35" s="97" t="s">
        <v>119</v>
      </c>
      <c r="F35" s="98">
        <f>IFERROR((IF(SEARCH(E35,M25YorN)&gt;0,16,0)),0)</f>
        <v>0</v>
      </c>
      <c r="G35" s="98"/>
      <c r="H35" s="98" t="s">
        <v>124</v>
      </c>
      <c r="I35" s="99">
        <f>IF(AND(TA=4, F32=16), I26, IF(AND(TA=4, F32=14), I24, IF(AND(TA=4, F32=18), I28, 0)))</f>
        <v>0</v>
      </c>
    </row>
    <row r="37" spans="2:9" ht="13.8" thickBot="1" x14ac:dyDescent="0.3">
      <c r="E37" s="161" t="s">
        <v>178</v>
      </c>
      <c r="H37" s="162" t="s">
        <v>176</v>
      </c>
    </row>
    <row r="38" spans="2:9" ht="15" thickBot="1" x14ac:dyDescent="0.3">
      <c r="B38" s="86" t="s">
        <v>130</v>
      </c>
      <c r="E38" s="132" t="s">
        <v>133</v>
      </c>
      <c r="F38" s="138" t="s">
        <v>151</v>
      </c>
      <c r="H38" s="132" t="s">
        <v>133</v>
      </c>
      <c r="I38" s="138" t="s">
        <v>151</v>
      </c>
    </row>
    <row r="39" spans="2:9" ht="15" thickBot="1" x14ac:dyDescent="0.3">
      <c r="B39" s="107" t="s">
        <v>32</v>
      </c>
      <c r="C39" s="108">
        <f>Income</f>
        <v>0</v>
      </c>
      <c r="E39" s="133">
        <v>0.95</v>
      </c>
      <c r="F39" s="134">
        <v>400000</v>
      </c>
      <c r="H39" s="133">
        <v>0.95</v>
      </c>
      <c r="I39" s="134">
        <v>0</v>
      </c>
    </row>
    <row r="40" spans="2:9" ht="15" thickBot="1" x14ac:dyDescent="0.3">
      <c r="B40" s="109" t="s">
        <v>34</v>
      </c>
      <c r="C40" s="110"/>
      <c r="E40" s="133">
        <v>0.9</v>
      </c>
      <c r="F40" s="134">
        <v>500000</v>
      </c>
      <c r="H40" s="133">
        <v>0.9</v>
      </c>
      <c r="I40" s="134">
        <v>0</v>
      </c>
    </row>
    <row r="41" spans="2:9" ht="15" thickBot="1" x14ac:dyDescent="0.3">
      <c r="B41" s="111" t="s">
        <v>35</v>
      </c>
      <c r="C41" s="112">
        <f>Commitments</f>
        <v>0</v>
      </c>
      <c r="E41" s="133">
        <v>0.85</v>
      </c>
      <c r="F41" s="134">
        <v>600000</v>
      </c>
      <c r="H41" s="133">
        <v>0.85</v>
      </c>
      <c r="I41" s="134">
        <v>0</v>
      </c>
    </row>
    <row r="42" spans="2:9" ht="15" thickBot="1" x14ac:dyDescent="0.3">
      <c r="B42" s="111" t="s">
        <v>46</v>
      </c>
      <c r="C42" s="113">
        <f>IF(NMRStressed&gt;0,Parameters!C31,0)</f>
        <v>0</v>
      </c>
      <c r="E42" s="133">
        <v>0.8</v>
      </c>
      <c r="F42" s="135">
        <v>800000</v>
      </c>
      <c r="H42" s="133">
        <v>0.8</v>
      </c>
      <c r="I42" s="134">
        <v>0</v>
      </c>
    </row>
    <row r="43" spans="2:9" ht="27" thickBot="1" x14ac:dyDescent="0.3">
      <c r="B43" s="114" t="s">
        <v>36</v>
      </c>
      <c r="C43" s="113">
        <f>CAge1</f>
        <v>0</v>
      </c>
      <c r="E43" s="133">
        <v>0.75</v>
      </c>
      <c r="F43" s="134">
        <v>1250000</v>
      </c>
      <c r="H43" s="133">
        <v>0.75</v>
      </c>
      <c r="I43" s="134">
        <v>1250000</v>
      </c>
    </row>
    <row r="44" spans="2:9" ht="15" thickBot="1" x14ac:dyDescent="0.3">
      <c r="B44" s="115" t="s">
        <v>37</v>
      </c>
      <c r="C44" s="113">
        <f>CAge2</f>
        <v>0</v>
      </c>
      <c r="E44" s="133">
        <v>0.6</v>
      </c>
      <c r="F44" s="136" t="s">
        <v>152</v>
      </c>
      <c r="H44" s="133">
        <v>0.6</v>
      </c>
      <c r="I44" s="136" t="s">
        <v>152</v>
      </c>
    </row>
    <row r="45" spans="2:9" ht="40.200000000000003" thickBot="1" x14ac:dyDescent="0.3">
      <c r="B45" s="116" t="s">
        <v>110</v>
      </c>
      <c r="C45" s="117">
        <f>BEE_QoLCosts</f>
        <v>0</v>
      </c>
      <c r="E45" s="86" t="s">
        <v>133</v>
      </c>
      <c r="F45" s="130">
        <f>Main!G26</f>
        <v>0</v>
      </c>
    </row>
    <row r="46" spans="2:9" ht="13.8" thickBot="1" x14ac:dyDescent="0.3">
      <c r="B46" s="120"/>
      <c r="C46" s="121"/>
      <c r="E46" s="160" t="s">
        <v>150</v>
      </c>
      <c r="F46" s="131">
        <f>IF(F45&gt;E39, F39, IF(F45&gt;E40, F39, IF(F45&gt;E41, F40, IF(F45&gt;E42, F41, IF(F45&gt;E43, F42, F43)))))</f>
        <v>1250000</v>
      </c>
      <c r="H46" s="159" t="s">
        <v>177</v>
      </c>
      <c r="I46" s="131">
        <f>IF(F45&gt;H39, I39, IF(F45&gt;H40, I39, IF(F45&gt;H41, I40, IF(F45&gt;H42, I41, IF(F45&gt;H43, I42, I43)))))</f>
        <v>1250000</v>
      </c>
    </row>
    <row r="47" spans="2:9" ht="13.05" customHeight="1" thickBot="1" x14ac:dyDescent="0.3">
      <c r="B47" s="118" t="s">
        <v>39</v>
      </c>
      <c r="C47" s="119">
        <f>IF(TotalMonthlyIncome&gt;0,TotalMonthlyIncome-SUM(C41:C45),0)</f>
        <v>0</v>
      </c>
      <c r="E47" s="86"/>
    </row>
    <row r="48" spans="2:9" ht="13.8" thickBot="1" x14ac:dyDescent="0.3">
      <c r="E48" s="86"/>
    </row>
    <row r="49" spans="2:6" ht="12.45" customHeight="1" x14ac:dyDescent="0.25">
      <c r="B49" s="324" t="s">
        <v>191</v>
      </c>
      <c r="C49" s="325"/>
    </row>
    <row r="50" spans="2:6" ht="14.4" x14ac:dyDescent="0.25">
      <c r="B50" s="326">
        <f>CombinedIncome*5</f>
        <v>0</v>
      </c>
      <c r="C50" s="327"/>
    </row>
    <row r="51" spans="2:6" ht="12.45" customHeight="1" x14ac:dyDescent="0.25">
      <c r="B51" s="334" t="s">
        <v>139</v>
      </c>
      <c r="C51" s="335"/>
    </row>
    <row r="52" spans="2:6" ht="12.45" customHeight="1" x14ac:dyDescent="0.25">
      <c r="B52" s="328">
        <f>IF(C5="R",F19, IF(C5="I",G19))</f>
        <v>0</v>
      </c>
      <c r="C52" s="329"/>
      <c r="D52" t="s">
        <v>174</v>
      </c>
    </row>
    <row r="53" spans="2:6" x14ac:dyDescent="0.25">
      <c r="B53" s="336" t="s">
        <v>143</v>
      </c>
      <c r="C53" s="337"/>
    </row>
    <row r="54" spans="2:6" ht="13.8" thickBot="1" x14ac:dyDescent="0.3">
      <c r="B54" s="338">
        <v>50000</v>
      </c>
      <c r="C54" s="339"/>
    </row>
    <row r="55" spans="2:6" x14ac:dyDescent="0.25">
      <c r="B55" s="362" t="s">
        <v>148</v>
      </c>
      <c r="C55" s="363"/>
      <c r="E55" s="317" t="s">
        <v>154</v>
      </c>
      <c r="F55" s="318"/>
    </row>
    <row r="56" spans="2:6" ht="13.8" thickBot="1" x14ac:dyDescent="0.3">
      <c r="B56" s="315">
        <f>IF(C5="R",F46, IF(C5="I",I46))</f>
        <v>1250000</v>
      </c>
      <c r="C56" s="316"/>
      <c r="E56" s="319">
        <f>IF(MaxLoanMult&lt;B56,MaxLoanMult,B56)</f>
        <v>0</v>
      </c>
      <c r="F56" s="320"/>
    </row>
    <row r="57" spans="2:6" x14ac:dyDescent="0.25">
      <c r="B57" s="141" t="s">
        <v>162</v>
      </c>
      <c r="C57" s="96"/>
    </row>
    <row r="58" spans="2:6" ht="13.8" thickBot="1" x14ac:dyDescent="0.3">
      <c r="B58" s="364">
        <f>IF(C5="R",G16, IF(C5="I",I16))</f>
        <v>0</v>
      </c>
      <c r="C58" s="365"/>
      <c r="D58" t="s">
        <v>174</v>
      </c>
    </row>
    <row r="59" spans="2:6" ht="13.8" thickBot="1" x14ac:dyDescent="0.3"/>
    <row r="60" spans="2:6" x14ac:dyDescent="0.25">
      <c r="B60" s="355" t="s">
        <v>140</v>
      </c>
      <c r="C60" s="356"/>
      <c r="E60" s="343" t="s">
        <v>179</v>
      </c>
      <c r="F60" s="344"/>
    </row>
    <row r="61" spans="2:6" ht="13.8" thickBot="1" x14ac:dyDescent="0.3">
      <c r="B61" s="345">
        <f>IF(MaxLoanMult&lt;=MaxLoanStress,MaxLoanMult, MaxLoanStress)</f>
        <v>0</v>
      </c>
      <c r="C61" s="346"/>
      <c r="E61" s="345">
        <f>IF(MaxLoanMult&lt;=B58,MaxLoanMult, B58)</f>
        <v>0</v>
      </c>
      <c r="F61" s="346"/>
    </row>
    <row r="62" spans="2:6" x14ac:dyDescent="0.25">
      <c r="B62" s="351" t="s">
        <v>144</v>
      </c>
      <c r="C62" s="352"/>
      <c r="E62" s="347" t="s">
        <v>180</v>
      </c>
      <c r="F62" s="348"/>
    </row>
    <row r="63" spans="2:6" ht="13.8" thickBot="1" x14ac:dyDescent="0.3">
      <c r="B63" s="349">
        <f>IF(B61&gt;B54, B61,B54)</f>
        <v>50000</v>
      </c>
      <c r="C63" s="350"/>
      <c r="E63" s="349">
        <f>IF(E61&gt;B54, E61,B54)</f>
        <v>50000</v>
      </c>
      <c r="F63" s="350"/>
    </row>
    <row r="64" spans="2:6" x14ac:dyDescent="0.25">
      <c r="B64" s="353" t="s">
        <v>149</v>
      </c>
      <c r="C64" s="354"/>
      <c r="E64" s="343" t="s">
        <v>181</v>
      </c>
      <c r="F64" s="344"/>
    </row>
    <row r="65" spans="2:6" ht="13.8" thickBot="1" x14ac:dyDescent="0.3">
      <c r="B65" s="341">
        <f>IF(FinalAmount&gt;B56, B56, FinalAmount)</f>
        <v>50000</v>
      </c>
      <c r="C65" s="342"/>
      <c r="E65" s="341">
        <f>IF(E63&gt;E56, E56, E63)</f>
        <v>0</v>
      </c>
      <c r="F65" s="342"/>
    </row>
    <row r="68" spans="2:6" x14ac:dyDescent="0.25">
      <c r="B68" s="361" t="s">
        <v>13</v>
      </c>
      <c r="C68" s="361"/>
      <c r="D68" s="361"/>
      <c r="E68" s="361"/>
      <c r="F68" s="125">
        <f>Parameters!C24</f>
        <v>0</v>
      </c>
    </row>
    <row r="69" spans="2:6" x14ac:dyDescent="0.25">
      <c r="B69" s="360" t="s">
        <v>165</v>
      </c>
      <c r="C69" s="361"/>
      <c r="D69" s="361"/>
      <c r="E69" s="361"/>
      <c r="F69" s="125">
        <f>Parameters!C31</f>
        <v>0</v>
      </c>
    </row>
    <row r="70" spans="2:6" x14ac:dyDescent="0.25">
      <c r="B70" s="360" t="s">
        <v>163</v>
      </c>
      <c r="C70" s="361"/>
      <c r="D70" s="361"/>
      <c r="E70" s="361"/>
      <c r="F70" s="125">
        <f>TotalDisposableIncome</f>
        <v>0</v>
      </c>
    </row>
    <row r="72" spans="2:6" ht="13.8" x14ac:dyDescent="0.25">
      <c r="B72" s="358" t="s">
        <v>26</v>
      </c>
      <c r="C72" s="358"/>
      <c r="D72" s="358"/>
      <c r="E72" s="358"/>
      <c r="F72" s="358"/>
    </row>
    <row r="73" spans="2:6" ht="13.2" customHeight="1" x14ac:dyDescent="0.25">
      <c r="B73" s="357" t="str">
        <f>IF(TotalMonthlyIncome&gt;0,SUM(TotalDisposableIncome/TotalMonthlyIncome),"")</f>
        <v/>
      </c>
      <c r="C73" s="357"/>
      <c r="D73" s="357"/>
      <c r="E73" s="357"/>
      <c r="F73" s="357"/>
    </row>
    <row r="74" spans="2:6" ht="13.2" customHeight="1" x14ac:dyDescent="0.25">
      <c r="B74" s="357"/>
      <c r="C74" s="357"/>
      <c r="D74" s="357"/>
      <c r="E74" s="357"/>
      <c r="F74" s="357"/>
    </row>
    <row r="75" spans="2:6" ht="13.2" customHeight="1" x14ac:dyDescent="0.25">
      <c r="B75" s="359" t="s">
        <v>131</v>
      </c>
      <c r="C75" s="359"/>
      <c r="D75" s="359"/>
      <c r="E75" s="359"/>
      <c r="F75" s="359"/>
    </row>
    <row r="76" spans="2:6" ht="13.8" x14ac:dyDescent="0.25">
      <c r="B76" s="340"/>
      <c r="C76" s="340"/>
      <c r="D76" s="340"/>
      <c r="E76" s="340"/>
      <c r="F76" s="340"/>
    </row>
  </sheetData>
  <protectedRanges>
    <protectedRange sqref="F2" name="Range1" securityDescriptor="O:WDG:WDD:(A;;CC;;;S-1-5-21-3986253035-2472614209-4169071725-2120)(A;;CC;;;S-1-5-21-3986253035-2472614209-4169071725-2138)(A;;CC;;;S-1-5-21-3986253035-2472614209-4169071725-2149)(A;;CC;;;S-1-5-21-3986253035-2472614209-4169071725-2137)(A;;CC;;;S-1-5-21-3986253035-2472614209-4169071725-2321)"/>
    <protectedRange password="95CF" sqref="C47 C41:C45 C39" name="Range1_1"/>
    <protectedRange password="95CF" sqref="F68:F70" name="Range1_1_1"/>
    <protectedRange password="95CF" sqref="B73" name="Range1_2"/>
  </protectedRanges>
  <mergeCells count="36">
    <mergeCell ref="B70:E70"/>
    <mergeCell ref="B69:E69"/>
    <mergeCell ref="B55:C55"/>
    <mergeCell ref="B68:E68"/>
    <mergeCell ref="B58:C58"/>
    <mergeCell ref="B76:F76"/>
    <mergeCell ref="E65:F65"/>
    <mergeCell ref="E60:F60"/>
    <mergeCell ref="E61:F61"/>
    <mergeCell ref="E62:F62"/>
    <mergeCell ref="E63:F63"/>
    <mergeCell ref="E64:F64"/>
    <mergeCell ref="B65:C65"/>
    <mergeCell ref="B62:C62"/>
    <mergeCell ref="B63:C63"/>
    <mergeCell ref="B64:C64"/>
    <mergeCell ref="B60:C60"/>
    <mergeCell ref="B61:C61"/>
    <mergeCell ref="B73:F74"/>
    <mergeCell ref="B72:F72"/>
    <mergeCell ref="B75:F75"/>
    <mergeCell ref="H10:I10"/>
    <mergeCell ref="H11:I11"/>
    <mergeCell ref="B56:C56"/>
    <mergeCell ref="E55:F55"/>
    <mergeCell ref="E56:F56"/>
    <mergeCell ref="E31:G31"/>
    <mergeCell ref="B49:C49"/>
    <mergeCell ref="B50:C50"/>
    <mergeCell ref="B52:C52"/>
    <mergeCell ref="B26:C26"/>
    <mergeCell ref="B19:C19"/>
    <mergeCell ref="B33:C33"/>
    <mergeCell ref="B51:C51"/>
    <mergeCell ref="B53:C53"/>
    <mergeCell ref="B54:C54"/>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30" t="s">
        <v>62</v>
      </c>
      <c r="C1" s="30" t="s">
        <v>81</v>
      </c>
    </row>
    <row r="2" spans="1:3" ht="15" thickBot="1" x14ac:dyDescent="0.3">
      <c r="A2" s="31" t="s">
        <v>63</v>
      </c>
      <c r="C2" s="38" t="s">
        <v>158</v>
      </c>
    </row>
    <row r="3" spans="1:3" ht="15" thickBot="1" x14ac:dyDescent="0.3">
      <c r="A3" s="32" t="s">
        <v>64</v>
      </c>
      <c r="C3" s="32" t="s">
        <v>77</v>
      </c>
    </row>
    <row r="4" spans="1:3" ht="15" thickBot="1" x14ac:dyDescent="0.3">
      <c r="A4" s="31" t="s">
        <v>65</v>
      </c>
    </row>
    <row r="5" spans="1:3" ht="15" thickBot="1" x14ac:dyDescent="0.3">
      <c r="A5" s="32" t="s">
        <v>66</v>
      </c>
    </row>
    <row r="6" spans="1:3" ht="15" thickBot="1" x14ac:dyDescent="0.3">
      <c r="A6" s="31" t="s">
        <v>67</v>
      </c>
    </row>
    <row r="7" spans="1:3" ht="15" thickBot="1" x14ac:dyDescent="0.3">
      <c r="A7" s="32" t="s">
        <v>68</v>
      </c>
    </row>
    <row r="8" spans="1:3" ht="15" thickBot="1" x14ac:dyDescent="0.3">
      <c r="A8" s="31" t="s">
        <v>69</v>
      </c>
    </row>
    <row r="9" spans="1:3" ht="15" thickBot="1" x14ac:dyDescent="0.3">
      <c r="A9" s="32" t="s">
        <v>70</v>
      </c>
    </row>
    <row r="10" spans="1:3" ht="15" thickBot="1" x14ac:dyDescent="0.3">
      <c r="A10" s="31" t="s">
        <v>71</v>
      </c>
    </row>
    <row r="11" spans="1:3" ht="15" thickBot="1" x14ac:dyDescent="0.3">
      <c r="A11" s="32" t="s">
        <v>72</v>
      </c>
    </row>
    <row r="12" spans="1:3" ht="15" thickBot="1" x14ac:dyDescent="0.3">
      <c r="A12" s="31" t="s">
        <v>73</v>
      </c>
    </row>
    <row r="13" spans="1:3" ht="15" thickBot="1" x14ac:dyDescent="0.3">
      <c r="A13" s="32" t="s">
        <v>74</v>
      </c>
    </row>
    <row r="14" spans="1:3" ht="15" thickBot="1" x14ac:dyDescent="0.3">
      <c r="A14" s="31" t="s">
        <v>75</v>
      </c>
    </row>
    <row r="15" spans="1:3" ht="13.8" thickBot="1" x14ac:dyDescent="0.3">
      <c r="A15" s="40" t="s">
        <v>86</v>
      </c>
    </row>
    <row r="16" spans="1:3" ht="15" thickBot="1" x14ac:dyDescent="0.3">
      <c r="A16" s="32" t="s">
        <v>78</v>
      </c>
    </row>
    <row r="17" spans="1:1" ht="14.4" x14ac:dyDescent="0.25">
      <c r="A17" s="33" t="s">
        <v>76</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69</vt:i4>
      </vt:variant>
    </vt:vector>
  </HeadingPairs>
  <TitlesOfParts>
    <vt:vector size="73"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2025-07-08T15:25:01Z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